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20" windowHeight="5670" activeTab="0"/>
  </bookViews>
  <sheets>
    <sheet name="93ck" sheetId="1" r:id="rId1"/>
    <sheet name="94CK" sheetId="2" r:id="rId2"/>
    <sheet name="95CK-1" sheetId="3" r:id="rId3"/>
  </sheets>
  <definedNames>
    <definedName name="_xlnm.Print_Titles" localSheetId="1">'94CK'!$8:$10</definedName>
  </definedNames>
  <calcPr fullCalcOnLoad="1"/>
</workbook>
</file>

<file path=xl/sharedStrings.xml><?xml version="1.0" encoding="utf-8"?>
<sst xmlns="http://schemas.openxmlformats.org/spreadsheetml/2006/main" count="243" uniqueCount="153">
  <si>
    <t>Biểu số 94/CK-NSNN</t>
  </si>
  <si>
    <t>A</t>
  </si>
  <si>
    <t>I</t>
  </si>
  <si>
    <t>Thuế thu nhập cá nhân</t>
  </si>
  <si>
    <t>Thuế bảo vệ môi trường</t>
  </si>
  <si>
    <t>Thu phí, lệ phí</t>
  </si>
  <si>
    <t>-</t>
  </si>
  <si>
    <t>Thuế sử dụng đất phi nông nghiệp</t>
  </si>
  <si>
    <t>Thu tiền sử dụng đất</t>
  </si>
  <si>
    <t>Thu khác ngân sách</t>
  </si>
  <si>
    <t>II</t>
  </si>
  <si>
    <t>B</t>
  </si>
  <si>
    <t>Biểu số 95/CK-NSNN</t>
  </si>
  <si>
    <t>Chi đầu tư phát triển</t>
  </si>
  <si>
    <t>Chi thường xuyên</t>
  </si>
  <si>
    <t>III</t>
  </si>
  <si>
    <t>Dự phòng ngân sách</t>
  </si>
  <si>
    <t>Thu ngân sách huyện được hưởng theo phân cấp</t>
  </si>
  <si>
    <t>Thu ngân sách huyện hưởng 100%</t>
  </si>
  <si>
    <t xml:space="preserve">Thu ngân sách huyện hưởng từ các khoản thu phân chia </t>
  </si>
  <si>
    <t>Thu bổ sung từ ngân sách cấp trên</t>
  </si>
  <si>
    <t>Thu bổ sung cân đối</t>
  </si>
  <si>
    <t>Thu bổ sung có mục tiêu</t>
  </si>
  <si>
    <t>IV</t>
  </si>
  <si>
    <t>Thu chuyển nguồn từ năm trước chuyển sang</t>
  </si>
  <si>
    <t>V</t>
  </si>
  <si>
    <t>Thu tiền từ sử dụng đất</t>
  </si>
  <si>
    <t>VI</t>
  </si>
  <si>
    <t>Thu từ nguồn huy động - đóng góp</t>
  </si>
  <si>
    <t> I</t>
  </si>
  <si>
    <t>Chi chuyển nguồn sang năm sau</t>
  </si>
  <si>
    <t xml:space="preserve">TỔNG NGUỒN THU NGÂN SÁCH </t>
  </si>
  <si>
    <t>Hưởng từ nhiệm vụ tỉnh thu</t>
  </si>
  <si>
    <t xml:space="preserve">Tổng chi cân đối ngân sách </t>
  </si>
  <si>
    <t>Chi đầu tư bằng nguồn vốn khác</t>
  </si>
  <si>
    <t>Biểu số 93/CK-NSNN</t>
  </si>
  <si>
    <t>Chi bổ sung có mục tiêu từ NS cấp tỉnh</t>
  </si>
  <si>
    <t xml:space="preserve">  UÛY BAN NHAÂN DAÂN </t>
  </si>
  <si>
    <t>THÒ XAÕ LONG KHAÙNH</t>
  </si>
  <si>
    <t>A. PHAÀN THU</t>
  </si>
  <si>
    <t>S</t>
  </si>
  <si>
    <t>Noäi dung</t>
  </si>
  <si>
    <t>TH</t>
  </si>
  <si>
    <t>Döï toaùn</t>
  </si>
  <si>
    <t>Öôùc  TH</t>
  </si>
  <si>
    <t>Chia ra</t>
  </si>
  <si>
    <t>So saùnh</t>
  </si>
  <si>
    <t>12 Thaùng</t>
  </si>
  <si>
    <t>TT</t>
  </si>
  <si>
    <t>naêm 2004</t>
  </si>
  <si>
    <t xml:space="preserve">tænh </t>
  </si>
  <si>
    <t>HÑND</t>
  </si>
  <si>
    <t>TH 11th</t>
  </si>
  <si>
    <t>Öôùc T12</t>
  </si>
  <si>
    <t>DT tænh</t>
  </si>
  <si>
    <t>DT HÑND</t>
  </si>
  <si>
    <t>Ckyø</t>
  </si>
  <si>
    <t>naêm 2017</t>
  </si>
  <si>
    <t>Dự toán tỉnh giao</t>
  </si>
  <si>
    <t>HDND giao</t>
  </si>
  <si>
    <t>Cùng kỳ</t>
  </si>
  <si>
    <t>TOÅNG THU NSNN</t>
  </si>
  <si>
    <t>A. Thu caân ñoái NS</t>
  </si>
  <si>
    <t xml:space="preserve"> Thu ngoaøi quoáùc doanh</t>
  </si>
  <si>
    <t xml:space="preserve">   + Thueá TTÑB</t>
  </si>
  <si>
    <t xml:space="preserve"> - Nguoàn taäp trung</t>
  </si>
  <si>
    <t xml:space="preserve">   + Thueá GTGT</t>
  </si>
  <si>
    <t xml:space="preserve"> - Nguoàn keát dö chi ñaàu tö thò xaõ</t>
  </si>
  <si>
    <t xml:space="preserve">   + Thueá TNDN</t>
  </si>
  <si>
    <t xml:space="preserve"> - Nguoàn hoã trôï XHHGT xaõ</t>
  </si>
  <si>
    <t xml:space="preserve">   + Thueá taøi nguyeân</t>
  </si>
  <si>
    <t xml:space="preserve"> Leä phí tröôùc baï</t>
  </si>
  <si>
    <t xml:space="preserve"> Chi söï nghieäp kinh teá</t>
  </si>
  <si>
    <t xml:space="preserve"> Thu phí leä phí</t>
  </si>
  <si>
    <t xml:space="preserve"> Chi SN vaên hoùa TT - TDTT</t>
  </si>
  <si>
    <t xml:space="preserve"> T/ñoù : Leä phí moân baøi</t>
  </si>
  <si>
    <t>Chi SN phaùt thanh truyeàn hình</t>
  </si>
  <si>
    <t xml:space="preserve"> Thu tieàn sử dụng đñất</t>
  </si>
  <si>
    <t xml:space="preserve"> Thu hoa lôïi coâng saûn…</t>
  </si>
  <si>
    <t xml:space="preserve"> Chi SN Giaùo duïc - Ñaøo taïo</t>
  </si>
  <si>
    <t xml:space="preserve"> Thu khaùc</t>
  </si>
  <si>
    <t xml:space="preserve"> Chi quaûn lyù haønh chính</t>
  </si>
  <si>
    <t xml:space="preserve"> Thu CTN ngoaøi quoác doanh</t>
  </si>
  <si>
    <t xml:space="preserve"> Chi ñaûm baûo xaõ hoäi</t>
  </si>
  <si>
    <t xml:space="preserve"> Chi An ninh - quoác phoøng</t>
  </si>
  <si>
    <t xml:space="preserve">         + Quoác phoøng</t>
  </si>
  <si>
    <t xml:space="preserve">         + An ninh</t>
  </si>
  <si>
    <t>C. Thu boå sung</t>
  </si>
  <si>
    <t xml:space="preserve"> Chi SN khaùc </t>
  </si>
  <si>
    <t>D. Thu keát dö</t>
  </si>
  <si>
    <t>Tiết kiệm 10% chi thöôøng xuyeân</t>
  </si>
  <si>
    <t>E. Thu XHH, HP- DV</t>
  </si>
  <si>
    <t>Chi NS xaõ, phường</t>
  </si>
  <si>
    <t xml:space="preserve"> - XHH giao thoâng-ñieän</t>
  </si>
  <si>
    <t>XDCB từ nguồn sử dụng đất</t>
  </si>
  <si>
    <t>XDCB từ nguồn sổ xố kiến thiết</t>
  </si>
  <si>
    <t>C. Chi XHH, HP-DV</t>
  </si>
  <si>
    <t>Nội dung</t>
  </si>
  <si>
    <t>So sánh (%)</t>
  </si>
  <si>
    <t>DT tỉnh giao</t>
  </si>
  <si>
    <t>DT HDND giao</t>
  </si>
  <si>
    <t>THU CÂN ĐỐI NSNN (I.1 + I.2)</t>
  </si>
  <si>
    <t>I.1</t>
  </si>
  <si>
    <t>Thu Nội địa (không kể tiền SDĐ)</t>
  </si>
  <si>
    <t>Thu từ khu vực kinh tế ngoài QD</t>
  </si>
  <si>
    <t>Thuế GTGT</t>
  </si>
  <si>
    <t>Thuế TNDN</t>
  </si>
  <si>
    <t>Thuế TTĐB</t>
  </si>
  <si>
    <t>Thuế Tài nguyên</t>
  </si>
  <si>
    <t>Lệ phí trước bạ</t>
  </si>
  <si>
    <t>I.2</t>
  </si>
  <si>
    <t>Các khoản thu phân chia theo tỷ lệ</t>
  </si>
  <si>
    <t xml:space="preserve">TỔNG THU NS TRÊN ĐỊA BÀN (I+II+III+IV) </t>
  </si>
  <si>
    <t>Chi tạm ứng</t>
  </si>
  <si>
    <t>Thu từ nguồn ngân sách địa phương</t>
  </si>
  <si>
    <t>VII</t>
  </si>
  <si>
    <t>VIII</t>
  </si>
  <si>
    <t>Thu từ nguồn tăng thu giao cao hơn dự toán tỉnh giao</t>
  </si>
  <si>
    <t>TỔNG CHI NGÂN SÁCH THÀNH PHỐ</t>
  </si>
  <si>
    <t>THU NGÂN SÁCH HUYỆN HƯỞNG THEO PHÂN CẤP (I+........+VII)</t>
  </si>
  <si>
    <t>Chi XHH, HP-DV</t>
  </si>
  <si>
    <t>Nguồn dự toán giao tăng thu  10%(chưa phân bổ chi)</t>
  </si>
  <si>
    <t>Nguồn thu NSNN (do Tỉnh và Trung ương hưởng theo tỷ lệ)</t>
  </si>
  <si>
    <t>Thu CTN- Ngoài Quốc Doanh (tỉnh thu huyện hưởng)</t>
  </si>
  <si>
    <t>ĐVT: Triệu đồng</t>
  </si>
  <si>
    <t>Thu từ nguồn CCTL địa phương</t>
  </si>
  <si>
    <t>Nguồn tăng thu (giao cao hơn DT tỉnh giao)</t>
  </si>
  <si>
    <t>Nguồn dự toán giao tăng thu 10% (chưa phân bổ chi)</t>
  </si>
  <si>
    <t>Thu từ nguồn NS địa phương</t>
  </si>
  <si>
    <t>C</t>
  </si>
  <si>
    <t>D</t>
  </si>
  <si>
    <t>Dự phòng</t>
  </si>
  <si>
    <t>Chi đầu tư XDCB</t>
  </si>
  <si>
    <t>Chi cân đối ngân sách</t>
  </si>
  <si>
    <t>THÀNH PHỐ LONG KHÁNH</t>
  </si>
  <si>
    <t>ỦY BAN NHÂN DÂN</t>
  </si>
  <si>
    <t>Thuế tài nguyên</t>
  </si>
  <si>
    <t>Thu từ nguồn huy động, đóng góp, dịch vụ</t>
  </si>
  <si>
    <t>Thu khác</t>
  </si>
  <si>
    <t>Chi từ nguồn chuyển nguồn đầu tư</t>
  </si>
  <si>
    <t>CÔNG KHAI CÂN ĐỐI THU - CHI NGÂN SÁCH THÀNH PHỐ  
06 THÁNG ĐẦU NĂM 2022</t>
  </si>
  <si>
    <t>CÔNG KHAI TÌNH HÌNH THU NGÂN SÁCH NHÀ NƯỚC 
06 THÁNG ĐẦU NĂM 2022</t>
  </si>
  <si>
    <t>06 tháng cùng kỳ</t>
  </si>
  <si>
    <t>CÔNG KHAI TÌNH HÌNH CHI NGÂN SÁCH THÀNH PHỐ 
06 THÁNG ĐẦU NĂM 2022</t>
  </si>
  <si>
    <t xml:space="preserve"> 06 tháng cùng kỳ</t>
  </si>
  <si>
    <t>Stt</t>
  </si>
  <si>
    <t xml:space="preserve">Dự toán tỉnh giao </t>
  </si>
  <si>
    <t>Dự toán HĐND giao</t>
  </si>
  <si>
    <t>Thực hiện 06 tháng</t>
  </si>
  <si>
    <t xml:space="preserve"> Chi SN Y teá</t>
  </si>
  <si>
    <t>Chi đầu tư XDCB từ nguồn vốn khác</t>
  </si>
  <si>
    <t>TỔNG CHI NSNN (A+B+C+D)</t>
  </si>
  <si>
    <t>(Kèm theo Quyết định số 1337/QĐ-UBND ngày 14/7/2022 của UBND thành phố)</t>
  </si>
</sst>
</file>

<file path=xl/styles.xml><?xml version="1.0" encoding="utf-8"?>
<styleSheet xmlns="http://schemas.openxmlformats.org/spreadsheetml/2006/main">
  <numFmts count="3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%;\-#,##0%"/>
    <numFmt numFmtId="181" formatCode="#,##0.00%;\-#,##0.00%"/>
    <numFmt numFmtId="182" formatCode="#,##0;[Red]#,##0"/>
    <numFmt numFmtId="183" formatCode="_(* #,##0_);_(* \(#,##0\);_(* &quot;-&quot;??_);_(@_)"/>
    <numFmt numFmtId="184" formatCode="_-* #,##0_-;\-* #,##0_-;_-* &quot;-&quot;??_-;_-@_-"/>
    <numFmt numFmtId="185" formatCode="_-* #,##0\ _₫_-;\-* #,##0\ _₫_-;_-* &quot;-&quot;??\ _₫_-;_-@_-"/>
    <numFmt numFmtId="186" formatCode="_-* #,##0.0_-;\-* #,##0.0_-;_-* &quot;-&quot;??_-;_-@_-"/>
    <numFmt numFmtId="187" formatCode="_-* #,##0.0\ _₫_-;\-* #,##0.0\ _₫_-;_-* &quot;-&quot;??\ _₫_-;_-@_-"/>
    <numFmt numFmtId="188" formatCode="#,##0.00_ ;\-#,##0.00\ "/>
    <numFmt numFmtId="189" formatCode="#,##0.0;[Red]#,##0.0"/>
    <numFmt numFmtId="190" formatCode="#,##0.00;[Red]#,##0.00"/>
  </numFmts>
  <fonts count="67">
    <font>
      <sz val="11"/>
      <color indexed="8"/>
      <name val="Calibri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Calibri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VNI-Times"/>
      <family val="0"/>
    </font>
    <font>
      <b/>
      <sz val="13"/>
      <color indexed="8"/>
      <name val="Times New Roman"/>
      <family val="1"/>
    </font>
    <font>
      <b/>
      <sz val="16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VNI-Times"/>
      <family val="0"/>
    </font>
    <font>
      <b/>
      <i/>
      <sz val="11"/>
      <color indexed="8"/>
      <name val="VNI-Times"/>
      <family val="0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i/>
      <sz val="11"/>
      <color indexed="8"/>
      <name val="VNI-Times"/>
      <family val="0"/>
    </font>
    <font>
      <i/>
      <sz val="9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sz val="13"/>
      <name val="Times New Roman"/>
      <family val="1"/>
    </font>
    <font>
      <u val="singleAccounting"/>
      <sz val="11"/>
      <color indexed="8"/>
      <name val="Times New Roman"/>
      <family val="1"/>
    </font>
    <font>
      <sz val="14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u val="single"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u val="single"/>
      <sz val="8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12"/>
      <name val="Times New Roman"/>
      <family val="1"/>
    </font>
    <font>
      <i/>
      <sz val="10"/>
      <color indexed="8"/>
      <name val="VNI-Times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8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251">
    <xf numFmtId="0" fontId="0" fillId="0" borderId="0" xfId="0" applyAlignment="1">
      <alignment/>
    </xf>
    <xf numFmtId="0" fontId="9" fillId="0" borderId="10" xfId="0" applyFont="1" applyBorder="1" applyAlignment="1">
      <alignment horizontal="center" vertical="center" wrapText="1"/>
    </xf>
    <xf numFmtId="3" fontId="14" fillId="0" borderId="10" xfId="0" applyNumberFormat="1" applyFont="1" applyBorder="1" applyAlignment="1">
      <alignment horizontal="left" vertical="center" wrapText="1"/>
    </xf>
    <xf numFmtId="0" fontId="16" fillId="0" borderId="0" xfId="55" applyFont="1" applyFill="1" applyAlignment="1">
      <alignment vertical="center"/>
      <protection/>
    </xf>
    <xf numFmtId="0" fontId="20" fillId="0" borderId="0" xfId="55" applyFont="1" applyFill="1" applyAlignment="1">
      <alignment vertical="center" wrapText="1"/>
      <protection/>
    </xf>
    <xf numFmtId="0" fontId="16" fillId="33" borderId="0" xfId="55" applyFont="1" applyFill="1" applyAlignment="1">
      <alignment vertical="center"/>
      <protection/>
    </xf>
    <xf numFmtId="0" fontId="4" fillId="0" borderId="0" xfId="55" applyFont="1" applyFill="1" applyAlignment="1">
      <alignment vertical="center" wrapText="1"/>
      <protection/>
    </xf>
    <xf numFmtId="0" fontId="21" fillId="0" borderId="0" xfId="55" applyFont="1" applyFill="1" applyAlignment="1">
      <alignment horizontal="center" vertical="center" wrapText="1"/>
      <protection/>
    </xf>
    <xf numFmtId="184" fontId="16" fillId="0" borderId="0" xfId="55" applyNumberFormat="1" applyFont="1" applyFill="1" applyAlignment="1">
      <alignment vertical="center"/>
      <protection/>
    </xf>
    <xf numFmtId="0" fontId="9" fillId="0" borderId="10" xfId="55" applyFont="1" applyFill="1" applyBorder="1" applyAlignment="1">
      <alignment horizontal="center" vertical="center" wrapText="1"/>
      <protection/>
    </xf>
    <xf numFmtId="0" fontId="16" fillId="0" borderId="0" xfId="55" applyFont="1" applyFill="1" applyAlignment="1">
      <alignment vertical="center" wrapText="1"/>
      <protection/>
    </xf>
    <xf numFmtId="184" fontId="9" fillId="0" borderId="10" xfId="55" applyNumberFormat="1" applyFont="1" applyFill="1" applyBorder="1" applyAlignment="1">
      <alignment horizontal="center" vertical="center" wrapText="1"/>
      <protection/>
    </xf>
    <xf numFmtId="184" fontId="9" fillId="0" borderId="0" xfId="55" applyNumberFormat="1" applyFont="1" applyFill="1" applyAlignment="1">
      <alignment vertical="center"/>
      <protection/>
    </xf>
    <xf numFmtId="0" fontId="9" fillId="0" borderId="0" xfId="55" applyFont="1" applyFill="1" applyAlignment="1">
      <alignment vertical="center"/>
      <protection/>
    </xf>
    <xf numFmtId="184" fontId="9" fillId="0" borderId="10" xfId="42" applyNumberFormat="1" applyFont="1" applyFill="1" applyBorder="1" applyAlignment="1">
      <alignment vertical="center" wrapText="1"/>
    </xf>
    <xf numFmtId="184" fontId="16" fillId="0" borderId="10" xfId="42" applyNumberFormat="1" applyFont="1" applyFill="1" applyBorder="1" applyAlignment="1">
      <alignment vertical="center" wrapText="1"/>
    </xf>
    <xf numFmtId="184" fontId="23" fillId="0" borderId="10" xfId="42" applyNumberFormat="1" applyFont="1" applyFill="1" applyBorder="1" applyAlignment="1">
      <alignment vertical="center" wrapText="1"/>
    </xf>
    <xf numFmtId="0" fontId="4" fillId="0" borderId="10" xfId="55" applyFont="1" applyFill="1" applyBorder="1" applyAlignment="1">
      <alignment vertical="center" wrapText="1"/>
      <protection/>
    </xf>
    <xf numFmtId="184" fontId="4" fillId="0" borderId="10" xfId="42" applyNumberFormat="1" applyFont="1" applyFill="1" applyBorder="1" applyAlignment="1">
      <alignment horizontal="center" vertical="center" wrapText="1"/>
    </xf>
    <xf numFmtId="43" fontId="4" fillId="0" borderId="10" xfId="55" applyNumberFormat="1" applyFont="1" applyFill="1" applyBorder="1" applyAlignment="1">
      <alignment horizontal="center" vertical="center" wrapText="1"/>
      <protection/>
    </xf>
    <xf numFmtId="0" fontId="4" fillId="0" borderId="0" xfId="55" applyFont="1" applyFill="1" applyAlignment="1">
      <alignment vertical="center"/>
      <protection/>
    </xf>
    <xf numFmtId="184" fontId="16" fillId="0" borderId="10" xfId="42" applyNumberFormat="1" applyFont="1" applyFill="1" applyBorder="1" applyAlignment="1">
      <alignment horizontal="center" vertical="center" wrapText="1"/>
    </xf>
    <xf numFmtId="184" fontId="9" fillId="0" borderId="10" xfId="42" applyNumberFormat="1" applyFont="1" applyFill="1" applyBorder="1" applyAlignment="1">
      <alignment horizontal="center" vertical="center" wrapText="1"/>
    </xf>
    <xf numFmtId="185" fontId="9" fillId="33" borderId="0" xfId="42" applyNumberFormat="1" applyFont="1" applyFill="1" applyAlignment="1">
      <alignment horizontal="right" vertical="center"/>
    </xf>
    <xf numFmtId="0" fontId="9" fillId="33" borderId="0" xfId="55" applyFont="1" applyFill="1" applyAlignment="1">
      <alignment vertical="center"/>
      <protection/>
    </xf>
    <xf numFmtId="184" fontId="4" fillId="0" borderId="0" xfId="55" applyNumberFormat="1" applyFont="1" applyFill="1" applyAlignment="1">
      <alignment vertical="center"/>
      <protection/>
    </xf>
    <xf numFmtId="3" fontId="16" fillId="0" borderId="10" xfId="42" applyNumberFormat="1" applyFont="1" applyFill="1" applyBorder="1" applyAlignment="1">
      <alignment horizontal="right" vertical="center"/>
    </xf>
    <xf numFmtId="184" fontId="9" fillId="0" borderId="10" xfId="55" applyNumberFormat="1" applyFont="1" applyFill="1" applyBorder="1" applyAlignment="1">
      <alignment vertical="center"/>
      <protection/>
    </xf>
    <xf numFmtId="3" fontId="9" fillId="0" borderId="10" xfId="55" applyNumberFormat="1" applyFont="1" applyFill="1" applyBorder="1" applyAlignment="1">
      <alignment vertical="center"/>
      <protection/>
    </xf>
    <xf numFmtId="43" fontId="9" fillId="0" borderId="10" xfId="55" applyNumberFormat="1" applyFont="1" applyFill="1" applyBorder="1" applyAlignment="1">
      <alignment horizontal="center" vertical="center" wrapText="1"/>
      <protection/>
    </xf>
    <xf numFmtId="43" fontId="16" fillId="0" borderId="10" xfId="55" applyNumberFormat="1" applyFont="1" applyFill="1" applyBorder="1" applyAlignment="1">
      <alignment horizontal="center" vertical="center" wrapText="1"/>
      <protection/>
    </xf>
    <xf numFmtId="3" fontId="16" fillId="33" borderId="10" xfId="55" applyNumberFormat="1" applyFont="1" applyFill="1" applyBorder="1" applyAlignment="1">
      <alignment vertical="center"/>
      <protection/>
    </xf>
    <xf numFmtId="3" fontId="16" fillId="33" borderId="10" xfId="42" applyNumberFormat="1" applyFont="1" applyFill="1" applyBorder="1" applyAlignment="1">
      <alignment vertical="center"/>
    </xf>
    <xf numFmtId="3" fontId="9" fillId="33" borderId="10" xfId="55" applyNumberFormat="1" applyFont="1" applyFill="1" applyBorder="1" applyAlignment="1">
      <alignment vertical="center"/>
      <protection/>
    </xf>
    <xf numFmtId="185" fontId="16" fillId="33" borderId="0" xfId="42" applyNumberFormat="1" applyFont="1" applyFill="1" applyAlignment="1">
      <alignment vertical="center"/>
    </xf>
    <xf numFmtId="185" fontId="4" fillId="33" borderId="0" xfId="42" applyNumberFormat="1" applyFont="1" applyFill="1" applyAlignment="1">
      <alignment vertical="center"/>
    </xf>
    <xf numFmtId="184" fontId="5" fillId="0" borderId="0" xfId="55" applyNumberFormat="1" applyFont="1" applyFill="1" applyAlignment="1">
      <alignment vertical="center"/>
      <protection/>
    </xf>
    <xf numFmtId="0" fontId="5" fillId="0" borderId="0" xfId="55" applyFont="1" applyFill="1" applyAlignment="1">
      <alignment vertical="center"/>
      <protection/>
    </xf>
    <xf numFmtId="0" fontId="9" fillId="0" borderId="10" xfId="55" applyFont="1" applyFill="1" applyBorder="1" applyAlignment="1">
      <alignment horizontal="left" vertical="center" wrapText="1"/>
      <protection/>
    </xf>
    <xf numFmtId="0" fontId="9" fillId="0" borderId="10" xfId="55" applyFont="1" applyFill="1" applyBorder="1" applyAlignment="1">
      <alignment vertical="center" wrapText="1"/>
      <protection/>
    </xf>
    <xf numFmtId="0" fontId="16" fillId="0" borderId="10" xfId="55" applyFont="1" applyFill="1" applyBorder="1" applyAlignment="1">
      <alignment horizontal="center" vertical="center"/>
      <protection/>
    </xf>
    <xf numFmtId="0" fontId="16" fillId="0" borderId="10" xfId="55" applyFont="1" applyFill="1" applyBorder="1" applyAlignment="1">
      <alignment vertical="center" wrapText="1"/>
      <protection/>
    </xf>
    <xf numFmtId="0" fontId="16" fillId="0" borderId="10" xfId="55" applyFont="1" applyFill="1" applyBorder="1" applyAlignment="1">
      <alignment horizontal="center" vertical="center" wrapText="1"/>
      <protection/>
    </xf>
    <xf numFmtId="0" fontId="16" fillId="0" borderId="10" xfId="55" applyFont="1" applyFill="1" applyBorder="1" applyAlignment="1">
      <alignment horizontal="left" vertical="center" wrapText="1"/>
      <protection/>
    </xf>
    <xf numFmtId="0" fontId="9" fillId="0" borderId="10" xfId="0" applyFont="1" applyFill="1" applyBorder="1" applyAlignment="1">
      <alignment horizontal="left" vertical="center" wrapText="1"/>
    </xf>
    <xf numFmtId="3" fontId="9" fillId="34" borderId="10" xfId="0" applyNumberFormat="1" applyFont="1" applyFill="1" applyBorder="1" applyAlignment="1">
      <alignment horizontal="right" vertical="center" wrapText="1"/>
    </xf>
    <xf numFmtId="184" fontId="11" fillId="0" borderId="0" xfId="42" applyNumberFormat="1" applyFont="1" applyFill="1" applyBorder="1" applyAlignment="1">
      <alignment horizontal="center" vertical="center" wrapText="1"/>
    </xf>
    <xf numFmtId="184" fontId="9" fillId="0" borderId="11" xfId="42" applyNumberFormat="1" applyFont="1" applyFill="1" applyBorder="1" applyAlignment="1">
      <alignment horizontal="center" vertical="center" wrapText="1"/>
    </xf>
    <xf numFmtId="3" fontId="27" fillId="0" borderId="12" xfId="0" applyNumberFormat="1" applyFont="1" applyBorder="1" applyAlignment="1">
      <alignment horizontal="left" vertical="center" wrapText="1"/>
    </xf>
    <xf numFmtId="3" fontId="9" fillId="0" borderId="10" xfId="0" applyNumberFormat="1" applyFont="1" applyBorder="1" applyAlignment="1">
      <alignment horizontal="left" vertical="center" wrapText="1"/>
    </xf>
    <xf numFmtId="0" fontId="16" fillId="0" borderId="10" xfId="55" applyFont="1" applyFill="1" applyBorder="1" applyAlignment="1">
      <alignment vertical="center"/>
      <protection/>
    </xf>
    <xf numFmtId="3" fontId="9" fillId="33" borderId="13" xfId="55" applyNumberFormat="1" applyFont="1" applyFill="1" applyBorder="1" applyAlignment="1">
      <alignment vertical="center"/>
      <protection/>
    </xf>
    <xf numFmtId="3" fontId="14" fillId="0" borderId="10" xfId="0" applyNumberFormat="1" applyFont="1" applyBorder="1" applyAlignment="1">
      <alignment horizontal="center" vertical="center" wrapText="1"/>
    </xf>
    <xf numFmtId="3" fontId="15" fillId="0" borderId="10" xfId="0" applyNumberFormat="1" applyFont="1" applyBorder="1" applyAlignment="1">
      <alignment horizontal="center" vertical="center" wrapText="1"/>
    </xf>
    <xf numFmtId="3" fontId="18" fillId="0" borderId="10" xfId="0" applyNumberFormat="1" applyFont="1" applyBorder="1" applyAlignment="1">
      <alignment horizontal="center" vertical="center" wrapText="1"/>
    </xf>
    <xf numFmtId="3" fontId="14" fillId="0" borderId="10" xfId="0" applyNumberFormat="1" applyFont="1" applyFill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9" fillId="0" borderId="11" xfId="55" applyFont="1" applyFill="1" applyBorder="1" applyAlignment="1">
      <alignment horizontal="center" vertical="center" wrapText="1"/>
      <protection/>
    </xf>
    <xf numFmtId="0" fontId="9" fillId="35" borderId="10" xfId="55" applyFont="1" applyFill="1" applyBorder="1" applyAlignment="1">
      <alignment vertical="center"/>
      <protection/>
    </xf>
    <xf numFmtId="0" fontId="9" fillId="0" borderId="10" xfId="0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left" vertical="center" wrapText="1"/>
    </xf>
    <xf numFmtId="182" fontId="7" fillId="0" borderId="10" xfId="0" applyNumberFormat="1" applyFont="1" applyFill="1" applyBorder="1" applyAlignment="1">
      <alignment horizontal="right" vertical="center" wrapText="1"/>
    </xf>
    <xf numFmtId="190" fontId="7" fillId="0" borderId="10" xfId="0" applyNumberFormat="1" applyFont="1" applyFill="1" applyBorder="1" applyAlignment="1">
      <alignment horizontal="right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left" vertical="center" wrapText="1"/>
    </xf>
    <xf numFmtId="182" fontId="13" fillId="0" borderId="10" xfId="0" applyNumberFormat="1" applyFont="1" applyFill="1" applyBorder="1" applyAlignment="1">
      <alignment horizontal="right" vertical="center" wrapText="1"/>
    </xf>
    <xf numFmtId="185" fontId="13" fillId="0" borderId="10" xfId="42" applyNumberFormat="1" applyFont="1" applyFill="1" applyBorder="1" applyAlignment="1">
      <alignment horizontal="right" vertical="center" wrapText="1"/>
    </xf>
    <xf numFmtId="190" fontId="13" fillId="0" borderId="10" xfId="0" applyNumberFormat="1" applyFont="1" applyFill="1" applyBorder="1" applyAlignment="1">
      <alignment horizontal="right" vertical="center" wrapText="1"/>
    </xf>
    <xf numFmtId="185" fontId="7" fillId="0" borderId="10" xfId="42" applyNumberFormat="1" applyFont="1" applyFill="1" applyBorder="1" applyAlignment="1">
      <alignment horizontal="right" vertical="center" wrapText="1"/>
    </xf>
    <xf numFmtId="183" fontId="7" fillId="0" borderId="10" xfId="42" applyNumberFormat="1" applyFont="1" applyFill="1" applyBorder="1" applyAlignment="1">
      <alignment horizontal="right" vertical="center" wrapText="1"/>
    </xf>
    <xf numFmtId="3" fontId="18" fillId="0" borderId="10" xfId="0" applyNumberFormat="1" applyFont="1" applyBorder="1" applyAlignment="1">
      <alignment horizontal="left" vertical="center" wrapText="1"/>
    </xf>
    <xf numFmtId="3" fontId="16" fillId="0" borderId="10" xfId="0" applyNumberFormat="1" applyFont="1" applyBorder="1" applyAlignment="1">
      <alignment horizontal="left" vertical="center" wrapText="1"/>
    </xf>
    <xf numFmtId="0" fontId="4" fillId="0" borderId="10" xfId="55" applyFont="1" applyFill="1" applyBorder="1" applyAlignment="1" quotePrefix="1">
      <alignment horizontal="right" vertical="center" wrapText="1"/>
      <protection/>
    </xf>
    <xf numFmtId="0" fontId="9" fillId="0" borderId="10" xfId="0" applyFont="1" applyBorder="1" applyAlignment="1">
      <alignment horizontal="left" vertical="center" wrapText="1"/>
    </xf>
    <xf numFmtId="43" fontId="2" fillId="0" borderId="10" xfId="55" applyNumberFormat="1" applyFont="1" applyFill="1" applyBorder="1" applyAlignment="1">
      <alignment horizontal="center" vertical="center" wrapText="1"/>
      <protection/>
    </xf>
    <xf numFmtId="184" fontId="2" fillId="0" borderId="10" xfId="55" applyNumberFormat="1" applyFont="1" applyFill="1" applyBorder="1" applyAlignment="1">
      <alignment vertical="center"/>
      <protection/>
    </xf>
    <xf numFmtId="0" fontId="24" fillId="0" borderId="0" xfId="55" applyFont="1" applyFill="1" applyAlignment="1">
      <alignment vertical="center"/>
      <protection/>
    </xf>
    <xf numFmtId="184" fontId="24" fillId="0" borderId="0" xfId="55" applyNumberFormat="1" applyFont="1" applyFill="1" applyAlignment="1">
      <alignment vertical="center"/>
      <protection/>
    </xf>
    <xf numFmtId="3" fontId="16" fillId="0" borderId="10" xfId="55" applyNumberFormat="1" applyFont="1" applyFill="1" applyBorder="1" applyAlignment="1">
      <alignment vertical="center"/>
      <protection/>
    </xf>
    <xf numFmtId="3" fontId="9" fillId="33" borderId="0" xfId="55" applyNumberFormat="1" applyFont="1" applyFill="1" applyBorder="1" applyAlignment="1">
      <alignment vertical="center"/>
      <protection/>
    </xf>
    <xf numFmtId="3" fontId="9" fillId="35" borderId="10" xfId="55" applyNumberFormat="1" applyFont="1" applyFill="1" applyBorder="1" applyAlignment="1">
      <alignment vertical="center"/>
      <protection/>
    </xf>
    <xf numFmtId="183" fontId="13" fillId="0" borderId="10" xfId="42" applyNumberFormat="1" applyFont="1" applyFill="1" applyBorder="1" applyAlignment="1">
      <alignment horizontal="right" vertical="center" wrapText="1"/>
    </xf>
    <xf numFmtId="3" fontId="7" fillId="0" borderId="10" xfId="42" applyNumberFormat="1" applyFont="1" applyFill="1" applyBorder="1" applyAlignment="1">
      <alignment horizontal="right" vertical="center" wrapText="1"/>
    </xf>
    <xf numFmtId="43" fontId="9" fillId="0" borderId="10" xfId="42" applyNumberFormat="1" applyFont="1" applyFill="1" applyBorder="1" applyAlignment="1">
      <alignment horizontal="center" vertical="center" wrapText="1"/>
    </xf>
    <xf numFmtId="43" fontId="9" fillId="35" borderId="10" xfId="42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Fill="1" applyAlignment="1">
      <alignment vertical="center"/>
    </xf>
    <xf numFmtId="0" fontId="13" fillId="34" borderId="0" xfId="0" applyFont="1" applyFill="1" applyAlignment="1">
      <alignment vertical="center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3" fontId="1" fillId="0" borderId="0" xfId="0" applyNumberFormat="1" applyFont="1" applyAlignment="1">
      <alignment vertical="center"/>
    </xf>
    <xf numFmtId="3" fontId="25" fillId="0" borderId="0" xfId="0" applyNumberFormat="1" applyFont="1" applyAlignment="1">
      <alignment vertical="center"/>
    </xf>
    <xf numFmtId="183" fontId="26" fillId="0" borderId="0" xfId="0" applyNumberFormat="1" applyFont="1" applyAlignment="1">
      <alignment vertical="center"/>
    </xf>
    <xf numFmtId="0" fontId="7" fillId="0" borderId="0" xfId="0" applyFont="1" applyAlignment="1">
      <alignment horizontal="center" vertical="center"/>
    </xf>
    <xf numFmtId="3" fontId="26" fillId="0" borderId="0" xfId="0" applyNumberFormat="1" applyFont="1" applyAlignment="1">
      <alignment vertical="center"/>
    </xf>
    <xf numFmtId="3" fontId="17" fillId="0" borderId="0" xfId="0" applyNumberFormat="1" applyFont="1" applyFill="1" applyAlignment="1">
      <alignment vertical="center"/>
    </xf>
    <xf numFmtId="0" fontId="27" fillId="0" borderId="11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7" fillId="33" borderId="10" xfId="0" applyFont="1" applyFill="1" applyBorder="1" applyAlignment="1">
      <alignment vertical="center"/>
    </xf>
    <xf numFmtId="0" fontId="27" fillId="0" borderId="14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2" fontId="27" fillId="0" borderId="10" xfId="0" applyNumberFormat="1" applyFont="1" applyBorder="1" applyAlignment="1">
      <alignment horizontal="center" vertical="center"/>
    </xf>
    <xf numFmtId="0" fontId="25" fillId="0" borderId="11" xfId="0" applyFont="1" applyBorder="1" applyAlignment="1">
      <alignment vertical="center"/>
    </xf>
    <xf numFmtId="0" fontId="27" fillId="0" borderId="16" xfId="0" applyFont="1" applyBorder="1" applyAlignment="1">
      <alignment horizontal="center" vertical="center"/>
    </xf>
    <xf numFmtId="3" fontId="27" fillId="0" borderId="16" xfId="0" applyNumberFormat="1" applyFont="1" applyBorder="1" applyAlignment="1">
      <alignment vertical="center"/>
    </xf>
    <xf numFmtId="2" fontId="27" fillId="0" borderId="12" xfId="0" applyNumberFormat="1" applyFont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3" fontId="9" fillId="34" borderId="10" xfId="0" applyNumberFormat="1" applyFont="1" applyFill="1" applyBorder="1" applyAlignment="1">
      <alignment vertical="center"/>
    </xf>
    <xf numFmtId="3" fontId="25" fillId="0" borderId="17" xfId="0" applyNumberFormat="1" applyFont="1" applyBorder="1" applyAlignment="1">
      <alignment horizontal="center" vertical="center"/>
    </xf>
    <xf numFmtId="3" fontId="28" fillId="0" borderId="18" xfId="0" applyNumberFormat="1" applyFont="1" applyBorder="1" applyAlignment="1">
      <alignment horizontal="left" vertical="center"/>
    </xf>
    <xf numFmtId="3" fontId="28" fillId="0" borderId="18" xfId="0" applyNumberFormat="1" applyFont="1" applyBorder="1" applyAlignment="1">
      <alignment horizontal="right" vertical="center"/>
    </xf>
    <xf numFmtId="3" fontId="28" fillId="33" borderId="10" xfId="0" applyNumberFormat="1" applyFont="1" applyFill="1" applyBorder="1" applyAlignment="1">
      <alignment horizontal="right" vertical="center"/>
    </xf>
    <xf numFmtId="0" fontId="25" fillId="0" borderId="0" xfId="0" applyFont="1" applyAlignment="1">
      <alignment vertical="center"/>
    </xf>
    <xf numFmtId="3" fontId="27" fillId="0" borderId="17" xfId="0" applyNumberFormat="1" applyFont="1" applyBorder="1" applyAlignment="1">
      <alignment vertical="center"/>
    </xf>
    <xf numFmtId="3" fontId="27" fillId="0" borderId="18" xfId="0" applyNumberFormat="1" applyFont="1" applyBorder="1" applyAlignment="1">
      <alignment vertical="center"/>
    </xf>
    <xf numFmtId="3" fontId="27" fillId="0" borderId="12" xfId="0" applyNumberFormat="1" applyFont="1" applyBorder="1" applyAlignment="1">
      <alignment vertical="center"/>
    </xf>
    <xf numFmtId="3" fontId="27" fillId="0" borderId="18" xfId="0" applyNumberFormat="1" applyFont="1" applyBorder="1" applyAlignment="1">
      <alignment horizontal="right" vertical="center"/>
    </xf>
    <xf numFmtId="3" fontId="27" fillId="0" borderId="19" xfId="0" applyNumberFormat="1" applyFont="1" applyBorder="1" applyAlignment="1">
      <alignment vertical="center"/>
    </xf>
    <xf numFmtId="3" fontId="27" fillId="33" borderId="10" xfId="0" applyNumberFormat="1" applyFont="1" applyFill="1" applyBorder="1" applyAlignment="1">
      <alignment vertical="center"/>
    </xf>
    <xf numFmtId="3" fontId="25" fillId="0" borderId="17" xfId="0" applyNumberFormat="1" applyFont="1" applyBorder="1" applyAlignment="1">
      <alignment vertical="center"/>
    </xf>
    <xf numFmtId="3" fontId="29" fillId="0" borderId="18" xfId="0" applyNumberFormat="1" applyFont="1" applyBorder="1" applyAlignment="1">
      <alignment vertical="center"/>
    </xf>
    <xf numFmtId="3" fontId="29" fillId="0" borderId="18" xfId="0" applyNumberFormat="1" applyFont="1" applyBorder="1" applyAlignment="1">
      <alignment horizontal="right" vertical="center"/>
    </xf>
    <xf numFmtId="3" fontId="29" fillId="0" borderId="12" xfId="0" applyNumberFormat="1" applyFont="1" applyBorder="1" applyAlignment="1">
      <alignment vertical="center"/>
    </xf>
    <xf numFmtId="2" fontId="25" fillId="0" borderId="12" xfId="0" applyNumberFormat="1" applyFont="1" applyBorder="1" applyAlignment="1">
      <alignment vertical="center"/>
    </xf>
    <xf numFmtId="183" fontId="29" fillId="33" borderId="10" xfId="42" applyNumberFormat="1" applyFont="1" applyFill="1" applyBorder="1" applyAlignment="1">
      <alignment vertical="center"/>
    </xf>
    <xf numFmtId="3" fontId="16" fillId="34" borderId="10" xfId="0" applyNumberFormat="1" applyFont="1" applyFill="1" applyBorder="1" applyAlignment="1">
      <alignment vertical="center"/>
    </xf>
    <xf numFmtId="183" fontId="27" fillId="33" borderId="10" xfId="42" applyNumberFormat="1" applyFont="1" applyFill="1" applyBorder="1" applyAlignment="1">
      <alignment vertical="center"/>
    </xf>
    <xf numFmtId="3" fontId="25" fillId="0" borderId="18" xfId="0" applyNumberFormat="1" applyFont="1" applyBorder="1" applyAlignment="1">
      <alignment vertical="center"/>
    </xf>
    <xf numFmtId="3" fontId="25" fillId="0" borderId="18" xfId="0" applyNumberFormat="1" applyFont="1" applyBorder="1" applyAlignment="1">
      <alignment horizontal="right" vertical="center"/>
    </xf>
    <xf numFmtId="183" fontId="25" fillId="33" borderId="10" xfId="42" applyNumberFormat="1" applyFont="1" applyFill="1" applyBorder="1" applyAlignment="1">
      <alignment vertical="center"/>
    </xf>
    <xf numFmtId="3" fontId="29" fillId="0" borderId="17" xfId="0" applyNumberFormat="1" applyFont="1" applyBorder="1" applyAlignment="1">
      <alignment vertical="center"/>
    </xf>
    <xf numFmtId="2" fontId="29" fillId="0" borderId="12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3" fontId="19" fillId="0" borderId="17" xfId="0" applyNumberFormat="1" applyFont="1" applyBorder="1" applyAlignment="1">
      <alignment vertical="center"/>
    </xf>
    <xf numFmtId="3" fontId="19" fillId="0" borderId="18" xfId="0" applyNumberFormat="1" applyFont="1" applyBorder="1" applyAlignment="1">
      <alignment vertical="center"/>
    </xf>
    <xf numFmtId="3" fontId="19" fillId="0" borderId="18" xfId="0" applyNumberFormat="1" applyFont="1" applyBorder="1" applyAlignment="1">
      <alignment horizontal="right" vertical="center"/>
    </xf>
    <xf numFmtId="2" fontId="19" fillId="0" borderId="12" xfId="0" applyNumberFormat="1" applyFont="1" applyBorder="1" applyAlignment="1">
      <alignment vertical="center"/>
    </xf>
    <xf numFmtId="183" fontId="19" fillId="33" borderId="10" xfId="42" applyNumberFormat="1" applyFont="1" applyFill="1" applyBorder="1" applyAlignment="1">
      <alignment vertical="center"/>
    </xf>
    <xf numFmtId="0" fontId="19" fillId="0" borderId="0" xfId="0" applyFont="1" applyAlignment="1">
      <alignment vertical="center"/>
    </xf>
    <xf numFmtId="3" fontId="25" fillId="0" borderId="19" xfId="0" applyNumberFormat="1" applyFont="1" applyBorder="1" applyAlignment="1">
      <alignment vertical="center"/>
    </xf>
    <xf numFmtId="3" fontId="17" fillId="34" borderId="10" xfId="0" applyNumberFormat="1" applyFont="1" applyFill="1" applyBorder="1" applyAlignment="1">
      <alignment vertical="center"/>
    </xf>
    <xf numFmtId="0" fontId="19" fillId="33" borderId="10" xfId="0" applyFont="1" applyFill="1" applyBorder="1" applyAlignment="1">
      <alignment vertical="center"/>
    </xf>
    <xf numFmtId="3" fontId="27" fillId="0" borderId="18" xfId="0" applyNumberFormat="1" applyFont="1" applyBorder="1" applyAlignment="1">
      <alignment horizontal="left" vertical="center"/>
    </xf>
    <xf numFmtId="183" fontId="28" fillId="33" borderId="10" xfId="42" applyNumberFormat="1" applyFont="1" applyFill="1" applyBorder="1" applyAlignment="1">
      <alignment vertical="center"/>
    </xf>
    <xf numFmtId="2" fontId="30" fillId="0" borderId="12" xfId="0" applyNumberFormat="1" applyFont="1" applyBorder="1" applyAlignment="1">
      <alignment vertical="center"/>
    </xf>
    <xf numFmtId="0" fontId="27" fillId="0" borderId="12" xfId="0" applyFont="1" applyBorder="1" applyAlignment="1">
      <alignment vertical="center"/>
    </xf>
    <xf numFmtId="3" fontId="27" fillId="0" borderId="17" xfId="0" applyNumberFormat="1" applyFont="1" applyBorder="1" applyAlignment="1">
      <alignment horizontal="right" vertical="center"/>
    </xf>
    <xf numFmtId="3" fontId="27" fillId="0" borderId="20" xfId="0" applyNumberFormat="1" applyFont="1" applyBorder="1" applyAlignment="1">
      <alignment vertical="center"/>
    </xf>
    <xf numFmtId="183" fontId="27" fillId="33" borderId="17" xfId="42" applyNumberFormat="1" applyFont="1" applyFill="1" applyBorder="1" applyAlignment="1">
      <alignment vertical="center"/>
    </xf>
    <xf numFmtId="0" fontId="25" fillId="0" borderId="12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3" fontId="28" fillId="0" borderId="12" xfId="0" applyNumberFormat="1" applyFont="1" applyBorder="1" applyAlignment="1">
      <alignment horizontal="right" vertical="center"/>
    </xf>
    <xf numFmtId="3" fontId="28" fillId="0" borderId="12" xfId="0" applyNumberFormat="1" applyFont="1" applyBorder="1" applyAlignment="1">
      <alignment vertical="center"/>
    </xf>
    <xf numFmtId="3" fontId="25" fillId="0" borderId="12" xfId="0" applyNumberFormat="1" applyFont="1" applyBorder="1" applyAlignment="1">
      <alignment horizontal="right" vertical="center"/>
    </xf>
    <xf numFmtId="3" fontId="25" fillId="0" borderId="12" xfId="0" applyNumberFormat="1" applyFont="1" applyBorder="1" applyAlignment="1">
      <alignment vertical="center"/>
    </xf>
    <xf numFmtId="2" fontId="28" fillId="0" borderId="12" xfId="0" applyNumberFormat="1" applyFont="1" applyBorder="1" applyAlignment="1">
      <alignment vertical="center"/>
    </xf>
    <xf numFmtId="2" fontId="28" fillId="33" borderId="17" xfId="0" applyNumberFormat="1" applyFont="1" applyFill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3" fontId="7" fillId="0" borderId="0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3" fillId="0" borderId="10" xfId="0" applyFont="1" applyFill="1" applyBorder="1" applyAlignment="1">
      <alignment vertical="center"/>
    </xf>
    <xf numFmtId="0" fontId="2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2" fillId="0" borderId="0" xfId="56" applyFont="1" applyFill="1" applyAlignment="1">
      <alignment horizontal="left" vertical="center"/>
      <protection/>
    </xf>
    <xf numFmtId="0" fontId="3" fillId="0" borderId="0" xfId="0" applyFont="1" applyFill="1" applyAlignment="1">
      <alignment vertical="center"/>
    </xf>
    <xf numFmtId="184" fontId="9" fillId="34" borderId="13" xfId="42" applyNumberFormat="1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43" fontId="9" fillId="34" borderId="10" xfId="42" applyNumberFormat="1" applyFont="1" applyFill="1" applyBorder="1" applyAlignment="1">
      <alignment horizontal="center" vertical="center" wrapText="1"/>
    </xf>
    <xf numFmtId="3" fontId="9" fillId="0" borderId="10" xfId="0" applyNumberFormat="1" applyFont="1" applyBorder="1" applyAlignment="1">
      <alignment vertical="center"/>
    </xf>
    <xf numFmtId="3" fontId="9" fillId="0" borderId="10" xfId="0" applyNumberFormat="1" applyFont="1" applyFill="1" applyBorder="1" applyAlignment="1">
      <alignment vertical="center"/>
    </xf>
    <xf numFmtId="188" fontId="9" fillId="0" borderId="10" xfId="42" applyNumberFormat="1" applyFont="1" applyFill="1" applyBorder="1" applyAlignment="1">
      <alignment vertical="center"/>
    </xf>
    <xf numFmtId="188" fontId="9" fillId="0" borderId="10" xfId="42" applyNumberFormat="1" applyFont="1" applyFill="1" applyBorder="1" applyAlignment="1">
      <alignment horizontal="right" vertical="center"/>
    </xf>
    <xf numFmtId="3" fontId="9" fillId="35" borderId="10" xfId="0" applyNumberFormat="1" applyFont="1" applyFill="1" applyBorder="1" applyAlignment="1">
      <alignment horizontal="right" vertical="center" wrapText="1"/>
    </xf>
    <xf numFmtId="3" fontId="9" fillId="0" borderId="10" xfId="0" applyNumberFormat="1" applyFont="1" applyFill="1" applyBorder="1" applyAlignment="1">
      <alignment horizontal="right" vertical="center" wrapText="1"/>
    </xf>
    <xf numFmtId="3" fontId="16" fillId="0" borderId="10" xfId="0" applyNumberFormat="1" applyFont="1" applyBorder="1" applyAlignment="1">
      <alignment vertical="center"/>
    </xf>
    <xf numFmtId="3" fontId="16" fillId="0" borderId="10" xfId="0" applyNumberFormat="1" applyFont="1" applyFill="1" applyBorder="1" applyAlignment="1">
      <alignment vertical="center"/>
    </xf>
    <xf numFmtId="188" fontId="16" fillId="0" borderId="10" xfId="42" applyNumberFormat="1" applyFont="1" applyFill="1" applyBorder="1" applyAlignment="1">
      <alignment vertical="center"/>
    </xf>
    <xf numFmtId="188" fontId="16" fillId="0" borderId="10" xfId="42" applyNumberFormat="1" applyFont="1" applyFill="1" applyBorder="1" applyAlignment="1">
      <alignment horizontal="right" vertical="center"/>
    </xf>
    <xf numFmtId="3" fontId="16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Border="1" applyAlignment="1" quotePrefix="1">
      <alignment vertical="center"/>
    </xf>
    <xf numFmtId="3" fontId="4" fillId="0" borderId="10" xfId="0" applyNumberFormat="1" applyFont="1" applyBorder="1" applyAlignment="1">
      <alignment vertical="center"/>
    </xf>
    <xf numFmtId="3" fontId="4" fillId="0" borderId="10" xfId="0" applyNumberFormat="1" applyFont="1" applyFill="1" applyBorder="1" applyAlignment="1">
      <alignment vertical="center"/>
    </xf>
    <xf numFmtId="3" fontId="4" fillId="34" borderId="10" xfId="0" applyNumberFormat="1" applyFont="1" applyFill="1" applyBorder="1" applyAlignment="1">
      <alignment vertical="center"/>
    </xf>
    <xf numFmtId="0" fontId="16" fillId="0" borderId="10" xfId="0" applyFont="1" applyBorder="1" applyAlignment="1">
      <alignment vertical="center"/>
    </xf>
    <xf numFmtId="3" fontId="31" fillId="0" borderId="10" xfId="0" applyNumberFormat="1" applyFont="1" applyBorder="1" applyAlignment="1">
      <alignment vertical="center"/>
    </xf>
    <xf numFmtId="0" fontId="16" fillId="34" borderId="10" xfId="0" applyFont="1" applyFill="1" applyBorder="1" applyAlignment="1">
      <alignment vertical="center"/>
    </xf>
    <xf numFmtId="3" fontId="13" fillId="0" borderId="0" xfId="0" applyNumberFormat="1" applyFont="1" applyAlignment="1">
      <alignment vertical="center"/>
    </xf>
    <xf numFmtId="3" fontId="32" fillId="0" borderId="10" xfId="0" applyNumberFormat="1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0" fontId="13" fillId="0" borderId="0" xfId="0" applyFont="1" applyFill="1" applyAlignment="1">
      <alignment horizontal="right" vertical="center"/>
    </xf>
    <xf numFmtId="0" fontId="21" fillId="0" borderId="0" xfId="0" applyFont="1" applyFill="1" applyAlignment="1">
      <alignment horizontal="right" vertical="center"/>
    </xf>
    <xf numFmtId="3" fontId="13" fillId="0" borderId="0" xfId="0" applyNumberFormat="1" applyFont="1" applyFill="1" applyAlignment="1">
      <alignment horizontal="right" vertical="center"/>
    </xf>
    <xf numFmtId="185" fontId="13" fillId="0" borderId="0" xfId="42" applyNumberFormat="1" applyFont="1" applyFill="1" applyAlignment="1">
      <alignment horizontal="right" vertical="center"/>
    </xf>
    <xf numFmtId="0" fontId="21" fillId="0" borderId="17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/>
    </xf>
    <xf numFmtId="2" fontId="21" fillId="0" borderId="17" xfId="0" applyNumberFormat="1" applyFont="1" applyBorder="1" applyAlignment="1">
      <alignment horizontal="center" vertical="center"/>
    </xf>
    <xf numFmtId="0" fontId="21" fillId="33" borderId="11" xfId="0" applyFont="1" applyFill="1" applyBorder="1" applyAlignment="1">
      <alignment vertical="center"/>
    </xf>
    <xf numFmtId="0" fontId="21" fillId="0" borderId="14" xfId="0" applyFont="1" applyBorder="1" applyAlignment="1">
      <alignment horizontal="center" vertical="center" wrapText="1"/>
    </xf>
    <xf numFmtId="3" fontId="33" fillId="0" borderId="14" xfId="0" applyNumberFormat="1" applyFont="1" applyBorder="1" applyAlignment="1">
      <alignment horizontal="center" vertical="center"/>
    </xf>
    <xf numFmtId="3" fontId="21" fillId="35" borderId="14" xfId="0" applyNumberFormat="1" applyFont="1" applyFill="1" applyBorder="1" applyAlignment="1">
      <alignment horizontal="center" vertical="center" wrapText="1"/>
    </xf>
    <xf numFmtId="3" fontId="21" fillId="0" borderId="14" xfId="0" applyNumberFormat="1" applyFont="1" applyFill="1" applyBorder="1" applyAlignment="1">
      <alignment horizontal="center" vertical="center" wrapText="1"/>
    </xf>
    <xf numFmtId="3" fontId="21" fillId="35" borderId="10" xfId="42" applyNumberFormat="1" applyFont="1" applyFill="1" applyBorder="1" applyAlignment="1">
      <alignment horizontal="center" vertical="center" wrapText="1"/>
    </xf>
    <xf numFmtId="3" fontId="21" fillId="0" borderId="10" xfId="42" applyNumberFormat="1" applyFont="1" applyFill="1" applyBorder="1" applyAlignment="1">
      <alignment horizontal="center" vertical="center" wrapText="1"/>
    </xf>
    <xf numFmtId="43" fontId="21" fillId="34" borderId="10" xfId="42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10" xfId="55" applyFont="1" applyFill="1" applyBorder="1" applyAlignment="1">
      <alignment horizontal="center" vertical="center" wrapText="1"/>
      <protection/>
    </xf>
    <xf numFmtId="0" fontId="21" fillId="33" borderId="0" xfId="55" applyFont="1" applyFill="1" applyAlignment="1">
      <alignment vertical="center"/>
      <protection/>
    </xf>
    <xf numFmtId="0" fontId="21" fillId="0" borderId="0" xfId="55" applyFont="1" applyFill="1" applyAlignment="1">
      <alignment vertical="center"/>
      <protection/>
    </xf>
    <xf numFmtId="0" fontId="9" fillId="0" borderId="0" xfId="0" applyFont="1" applyFill="1" applyAlignment="1">
      <alignment horizontal="right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35" borderId="11" xfId="0" applyFont="1" applyFill="1" applyBorder="1" applyAlignment="1">
      <alignment horizontal="center" vertical="center" wrapText="1"/>
    </xf>
    <xf numFmtId="0" fontId="9" fillId="35" borderId="14" xfId="0" applyFont="1" applyFill="1" applyBorder="1" applyAlignment="1">
      <alignment horizontal="center" vertical="center" wrapText="1"/>
    </xf>
    <xf numFmtId="3" fontId="10" fillId="0" borderId="11" xfId="0" applyNumberFormat="1" applyFont="1" applyBorder="1" applyAlignment="1">
      <alignment horizontal="center" vertical="center"/>
    </xf>
    <xf numFmtId="3" fontId="10" fillId="0" borderId="14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right" vertical="center"/>
    </xf>
    <xf numFmtId="0" fontId="1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9" fillId="0" borderId="10" xfId="55" applyFont="1" applyFill="1" applyBorder="1" applyAlignment="1">
      <alignment horizontal="center" vertical="center" wrapText="1"/>
      <protection/>
    </xf>
    <xf numFmtId="0" fontId="9" fillId="33" borderId="22" xfId="55" applyFont="1" applyFill="1" applyBorder="1" applyAlignment="1">
      <alignment horizontal="center" vertical="center" wrapText="1"/>
      <protection/>
    </xf>
    <xf numFmtId="0" fontId="9" fillId="0" borderId="0" xfId="55" applyFont="1" applyFill="1" applyAlignment="1">
      <alignment horizontal="center" vertical="center"/>
      <protection/>
    </xf>
    <xf numFmtId="0" fontId="5" fillId="0" borderId="0" xfId="55" applyFont="1" applyFill="1" applyAlignment="1">
      <alignment horizontal="center" vertical="center" wrapText="1"/>
      <protection/>
    </xf>
    <xf numFmtId="0" fontId="3" fillId="0" borderId="0" xfId="55" applyFont="1" applyFill="1" applyAlignment="1">
      <alignment horizontal="center" vertical="center" wrapText="1"/>
      <protection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7" fillId="0" borderId="11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4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="140" zoomScaleNormal="140" zoomScalePageLayoutView="0" workbookViewId="0" topLeftCell="A1">
      <selection activeCell="D7" sqref="D7:D8"/>
    </sheetView>
  </sheetViews>
  <sheetFormatPr defaultColWidth="8.8515625" defaultRowHeight="15"/>
  <cols>
    <col min="1" max="1" width="5.421875" style="170" customWidth="1"/>
    <col min="2" max="2" width="38.28125" style="170" customWidth="1"/>
    <col min="3" max="3" width="10.421875" style="170" customWidth="1"/>
    <col min="4" max="4" width="10.28125" style="170" customWidth="1"/>
    <col min="5" max="5" width="10.7109375" style="170" customWidth="1"/>
    <col min="6" max="6" width="8.421875" style="170" customWidth="1"/>
    <col min="7" max="7" width="8.57421875" style="170" customWidth="1"/>
    <col min="8" max="8" width="8.7109375" style="170" customWidth="1"/>
    <col min="9" max="9" width="12.57421875" style="201" hidden="1" customWidth="1"/>
    <col min="10" max="16384" width="8.8515625" style="170" customWidth="1"/>
  </cols>
  <sheetData>
    <row r="1" spans="1:8" ht="15" customHeight="1">
      <c r="A1" s="225" t="s">
        <v>135</v>
      </c>
      <c r="B1" s="225"/>
      <c r="C1" s="169"/>
      <c r="F1" s="222" t="s">
        <v>35</v>
      </c>
      <c r="G1" s="222"/>
      <c r="H1" s="222"/>
    </row>
    <row r="2" spans="1:2" ht="16.5">
      <c r="A2" s="235" t="s">
        <v>134</v>
      </c>
      <c r="B2" s="235"/>
    </row>
    <row r="3" ht="10.5" customHeight="1">
      <c r="A3" s="171"/>
    </row>
    <row r="4" spans="1:8" ht="43.5" customHeight="1">
      <c r="A4" s="223" t="s">
        <v>140</v>
      </c>
      <c r="B4" s="224"/>
      <c r="C4" s="224"/>
      <c r="D4" s="224"/>
      <c r="E4" s="224"/>
      <c r="F4" s="224"/>
      <c r="G4" s="224"/>
      <c r="H4" s="224"/>
    </row>
    <row r="5" spans="1:10" ht="19.5" customHeight="1">
      <c r="A5" s="236" t="s">
        <v>152</v>
      </c>
      <c r="B5" s="236"/>
      <c r="C5" s="236"/>
      <c r="D5" s="236"/>
      <c r="E5" s="236"/>
      <c r="F5" s="236"/>
      <c r="G5" s="236"/>
      <c r="H5" s="236"/>
      <c r="I5" s="202"/>
      <c r="J5" s="176"/>
    </row>
    <row r="6" spans="7:8" ht="22.5" customHeight="1">
      <c r="G6" s="234" t="s">
        <v>124</v>
      </c>
      <c r="H6" s="234"/>
    </row>
    <row r="7" spans="1:8" ht="24" customHeight="1">
      <c r="A7" s="232" t="s">
        <v>145</v>
      </c>
      <c r="B7" s="230" t="s">
        <v>97</v>
      </c>
      <c r="C7" s="228" t="s">
        <v>146</v>
      </c>
      <c r="D7" s="228" t="s">
        <v>147</v>
      </c>
      <c r="E7" s="226" t="s">
        <v>148</v>
      </c>
      <c r="F7" s="237" t="s">
        <v>98</v>
      </c>
      <c r="G7" s="237"/>
      <c r="H7" s="237"/>
    </row>
    <row r="8" spans="1:8" ht="46.5" customHeight="1">
      <c r="A8" s="233"/>
      <c r="B8" s="231"/>
      <c r="C8" s="229"/>
      <c r="D8" s="229" t="s">
        <v>51</v>
      </c>
      <c r="E8" s="227"/>
      <c r="F8" s="86" t="s">
        <v>99</v>
      </c>
      <c r="G8" s="86" t="s">
        <v>100</v>
      </c>
      <c r="H8" s="86" t="s">
        <v>60</v>
      </c>
    </row>
    <row r="9" spans="1:9" s="200" customFormat="1" ht="12.75">
      <c r="A9" s="218" t="s">
        <v>1</v>
      </c>
      <c r="B9" s="218" t="s">
        <v>11</v>
      </c>
      <c r="C9" s="218">
        <v>1</v>
      </c>
      <c r="D9" s="217">
        <v>2</v>
      </c>
      <c r="E9" s="217">
        <v>3</v>
      </c>
      <c r="F9" s="217">
        <v>4</v>
      </c>
      <c r="G9" s="217">
        <v>5</v>
      </c>
      <c r="H9" s="217">
        <v>6</v>
      </c>
      <c r="I9" s="202"/>
    </row>
    <row r="10" spans="1:9" ht="24" customHeight="1">
      <c r="A10" s="62" t="s">
        <v>1</v>
      </c>
      <c r="B10" s="63" t="s">
        <v>31</v>
      </c>
      <c r="C10" s="64">
        <f>C11+C14+C17+C19+C20+C21+C18+C22</f>
        <v>822728</v>
      </c>
      <c r="D10" s="64">
        <f>D11+D14+D17+D19+D20+D21+D18+D22</f>
        <v>844353</v>
      </c>
      <c r="E10" s="64">
        <f>E11+E14+E17+E19+E20+E21</f>
        <v>696573.75</v>
      </c>
      <c r="F10" s="65">
        <f aca="true" t="shared" si="0" ref="F10:F16">SUM(E10/C10)*100</f>
        <v>84.66634780875332</v>
      </c>
      <c r="G10" s="65">
        <f aca="true" t="shared" si="1" ref="G10:G16">(E10/D10)*100</f>
        <v>82.4979303679859</v>
      </c>
      <c r="H10" s="65">
        <f aca="true" t="shared" si="2" ref="H10:H17">(E10/I10)*100</f>
        <v>108.83087394828792</v>
      </c>
      <c r="I10" s="64">
        <f>I11+I14+I17+I19+I20+I21+I22</f>
        <v>640051.6</v>
      </c>
    </row>
    <row r="11" spans="1:9" ht="32.25" customHeight="1">
      <c r="A11" s="60" t="s">
        <v>2</v>
      </c>
      <c r="B11" s="44" t="s">
        <v>17</v>
      </c>
      <c r="C11" s="64">
        <f>SUM(C12:C13)</f>
        <v>154325</v>
      </c>
      <c r="D11" s="64">
        <f>SUM(D12:D13)</f>
        <v>154325</v>
      </c>
      <c r="E11" s="64">
        <f>SUM(E12:E13)</f>
        <v>120443.5</v>
      </c>
      <c r="F11" s="65">
        <f t="shared" si="0"/>
        <v>78.04535882067066</v>
      </c>
      <c r="G11" s="65">
        <f t="shared" si="1"/>
        <v>78.04535882067066</v>
      </c>
      <c r="H11" s="65">
        <f t="shared" si="2"/>
        <v>105.47661143375629</v>
      </c>
      <c r="I11" s="64">
        <f>SUM(I12:I13)</f>
        <v>114189.76999999999</v>
      </c>
    </row>
    <row r="12" spans="1:9" ht="24" customHeight="1">
      <c r="A12" s="66" t="s">
        <v>6</v>
      </c>
      <c r="B12" s="67" t="s">
        <v>18</v>
      </c>
      <c r="C12" s="68">
        <v>78500</v>
      </c>
      <c r="D12" s="68">
        <f>C12</f>
        <v>78500</v>
      </c>
      <c r="E12" s="69">
        <f>'94CK'!E42</f>
        <v>75538</v>
      </c>
      <c r="F12" s="70">
        <f t="shared" si="0"/>
        <v>96.22675159235669</v>
      </c>
      <c r="G12" s="70">
        <f t="shared" si="1"/>
        <v>96.22675159235669</v>
      </c>
      <c r="H12" s="70">
        <f t="shared" si="2"/>
        <v>107.67300976409379</v>
      </c>
      <c r="I12" s="203">
        <f>'94CK'!I42</f>
        <v>70155</v>
      </c>
    </row>
    <row r="13" spans="1:9" ht="32.25" customHeight="1">
      <c r="A13" s="66" t="s">
        <v>6</v>
      </c>
      <c r="B13" s="67" t="s">
        <v>19</v>
      </c>
      <c r="C13" s="84">
        <v>75825</v>
      </c>
      <c r="D13" s="84">
        <f>C13</f>
        <v>75825</v>
      </c>
      <c r="E13" s="69">
        <f>'94CK'!E41</f>
        <v>44905.5</v>
      </c>
      <c r="F13" s="70">
        <f t="shared" si="0"/>
        <v>59.22255192878338</v>
      </c>
      <c r="G13" s="70">
        <f t="shared" si="1"/>
        <v>59.22255192878338</v>
      </c>
      <c r="H13" s="70">
        <f t="shared" si="2"/>
        <v>101.97736924707455</v>
      </c>
      <c r="I13" s="203">
        <f>'94CK'!I41</f>
        <v>44034.77</v>
      </c>
    </row>
    <row r="14" spans="1:9" ht="24" customHeight="1">
      <c r="A14" s="60" t="s">
        <v>10</v>
      </c>
      <c r="B14" s="44" t="s">
        <v>20</v>
      </c>
      <c r="C14" s="64">
        <f>SUM(C15:C16)</f>
        <v>590293</v>
      </c>
      <c r="D14" s="64">
        <f>SUM(D15:D16)</f>
        <v>590293</v>
      </c>
      <c r="E14" s="64">
        <f>SUM(E15:E16)</f>
        <v>323293</v>
      </c>
      <c r="F14" s="65">
        <f t="shared" si="0"/>
        <v>54.76822527117889</v>
      </c>
      <c r="G14" s="65">
        <f t="shared" si="1"/>
        <v>54.76822527117889</v>
      </c>
      <c r="H14" s="65">
        <f t="shared" si="2"/>
        <v>102.68648657233155</v>
      </c>
      <c r="I14" s="71">
        <f>I15+I16</f>
        <v>314835</v>
      </c>
    </row>
    <row r="15" spans="1:9" ht="24" customHeight="1">
      <c r="A15" s="66" t="s">
        <v>6</v>
      </c>
      <c r="B15" s="67" t="s">
        <v>21</v>
      </c>
      <c r="C15" s="68">
        <v>515511</v>
      </c>
      <c r="D15" s="68">
        <f>C15</f>
        <v>515511</v>
      </c>
      <c r="E15" s="69">
        <v>272511</v>
      </c>
      <c r="F15" s="70">
        <f t="shared" si="0"/>
        <v>52.86230555701042</v>
      </c>
      <c r="G15" s="70">
        <f t="shared" si="1"/>
        <v>52.86230555701042</v>
      </c>
      <c r="H15" s="70">
        <f t="shared" si="2"/>
        <v>115.38275891269372</v>
      </c>
      <c r="I15" s="204">
        <v>236180</v>
      </c>
    </row>
    <row r="16" spans="1:9" ht="24" customHeight="1">
      <c r="A16" s="66" t="s">
        <v>6</v>
      </c>
      <c r="B16" s="67" t="s">
        <v>22</v>
      </c>
      <c r="C16" s="68">
        <v>74782</v>
      </c>
      <c r="D16" s="68">
        <f>C16</f>
        <v>74782</v>
      </c>
      <c r="E16" s="69">
        <v>50782</v>
      </c>
      <c r="F16" s="70">
        <f t="shared" si="0"/>
        <v>67.90671551977748</v>
      </c>
      <c r="G16" s="70">
        <f t="shared" si="1"/>
        <v>67.90671551977748</v>
      </c>
      <c r="H16" s="70">
        <f t="shared" si="2"/>
        <v>64.56296484648148</v>
      </c>
      <c r="I16" s="204">
        <v>78655</v>
      </c>
    </row>
    <row r="17" spans="1:9" ht="24" customHeight="1">
      <c r="A17" s="60" t="s">
        <v>15</v>
      </c>
      <c r="B17" s="44" t="s">
        <v>32</v>
      </c>
      <c r="C17" s="64"/>
      <c r="D17" s="64"/>
      <c r="E17" s="85">
        <f>'94CK'!E43</f>
        <v>558.45</v>
      </c>
      <c r="F17" s="65"/>
      <c r="G17" s="65"/>
      <c r="H17" s="65">
        <f t="shared" si="2"/>
        <v>6.010377304677537</v>
      </c>
      <c r="I17" s="203">
        <f>'94CK'!I43</f>
        <v>9291.43</v>
      </c>
    </row>
    <row r="18" spans="1:9" ht="24" customHeight="1">
      <c r="A18" s="60" t="s">
        <v>23</v>
      </c>
      <c r="B18" s="44" t="s">
        <v>114</v>
      </c>
      <c r="C18" s="64">
        <v>6110</v>
      </c>
      <c r="D18" s="64">
        <v>7266</v>
      </c>
      <c r="E18" s="71"/>
      <c r="F18" s="65"/>
      <c r="G18" s="65"/>
      <c r="H18" s="65"/>
      <c r="I18" s="203">
        <f>'94CK'!I47</f>
        <v>0</v>
      </c>
    </row>
    <row r="19" spans="1:9" ht="33" customHeight="1">
      <c r="A19" s="60" t="s">
        <v>25</v>
      </c>
      <c r="B19" s="44" t="s">
        <v>24</v>
      </c>
      <c r="C19" s="44"/>
      <c r="D19" s="68"/>
      <c r="E19" s="71">
        <f>'94CK'!E36</f>
        <v>200546</v>
      </c>
      <c r="F19" s="65"/>
      <c r="G19" s="65"/>
      <c r="H19" s="65"/>
      <c r="I19" s="203">
        <f>'94CK'!I50</f>
        <v>150737</v>
      </c>
    </row>
    <row r="20" spans="1:9" ht="24" customHeight="1">
      <c r="A20" s="60" t="s">
        <v>27</v>
      </c>
      <c r="B20" s="44" t="s">
        <v>26</v>
      </c>
      <c r="C20" s="64">
        <v>72000</v>
      </c>
      <c r="D20" s="72">
        <f>C20</f>
        <v>72000</v>
      </c>
      <c r="E20" s="71">
        <f>'94CK'!E45</f>
        <v>48895.799999999996</v>
      </c>
      <c r="F20" s="65">
        <f>SUM(E20/C20)*100</f>
        <v>67.91083333333333</v>
      </c>
      <c r="G20" s="65">
        <f>(E20/D20)*100</f>
        <v>67.91083333333333</v>
      </c>
      <c r="H20" s="65">
        <f>(E20/I20)*100</f>
        <v>98.4524125933264</v>
      </c>
      <c r="I20" s="203">
        <f>'94CK'!I45</f>
        <v>49664.4</v>
      </c>
    </row>
    <row r="21" spans="1:9" ht="24" customHeight="1">
      <c r="A21" s="60" t="s">
        <v>115</v>
      </c>
      <c r="B21" s="44" t="s">
        <v>28</v>
      </c>
      <c r="C21" s="44"/>
      <c r="D21" s="72">
        <v>8319</v>
      </c>
      <c r="E21" s="71">
        <f>'94CK'!E46</f>
        <v>2837</v>
      </c>
      <c r="F21" s="65"/>
      <c r="G21" s="65">
        <f>(E21/D21)*100</f>
        <v>34.10265656929919</v>
      </c>
      <c r="H21" s="65"/>
      <c r="I21" s="203">
        <f>'94CK'!I46</f>
        <v>1334</v>
      </c>
    </row>
    <row r="22" spans="1:8" ht="30" customHeight="1">
      <c r="A22" s="60" t="s">
        <v>116</v>
      </c>
      <c r="B22" s="44" t="s">
        <v>117</v>
      </c>
      <c r="C22" s="44"/>
      <c r="D22" s="72">
        <v>12150</v>
      </c>
      <c r="E22" s="71"/>
      <c r="F22" s="65"/>
      <c r="G22" s="65"/>
      <c r="H22" s="65"/>
    </row>
    <row r="23" spans="1:9" ht="25.5" customHeight="1">
      <c r="A23" s="60" t="s">
        <v>11</v>
      </c>
      <c r="B23" s="44" t="s">
        <v>118</v>
      </c>
      <c r="C23" s="64">
        <f>C24+C28+C29+C32+C31</f>
        <v>822728</v>
      </c>
      <c r="D23" s="64">
        <f>D24+D28+D29+D32+D31+D33</f>
        <v>844353</v>
      </c>
      <c r="E23" s="64">
        <f>E24+E28+E29+E32+E31+E30</f>
        <v>447820</v>
      </c>
      <c r="F23" s="65">
        <f>SUM(E23/C23)*100</f>
        <v>54.43111210509427</v>
      </c>
      <c r="G23" s="65">
        <f>(E23/D23)*100</f>
        <v>53.03705914469422</v>
      </c>
      <c r="H23" s="65">
        <f>(E23/I23)*100</f>
        <v>103.45871192956434</v>
      </c>
      <c r="I23" s="64">
        <f>'95CK-1'!U11</f>
        <v>432849</v>
      </c>
    </row>
    <row r="24" spans="1:9" ht="24" customHeight="1">
      <c r="A24" s="60" t="s">
        <v>29</v>
      </c>
      <c r="B24" s="44" t="s">
        <v>33</v>
      </c>
      <c r="C24" s="64">
        <f>SUM(C25:C27)</f>
        <v>675946</v>
      </c>
      <c r="D24" s="64">
        <f>SUM(D25:D27)</f>
        <v>677102</v>
      </c>
      <c r="E24" s="64">
        <f>SUM(E25:E27)</f>
        <v>335022</v>
      </c>
      <c r="F24" s="65">
        <f>SUM(E24/C24)*100</f>
        <v>49.56342666426016</v>
      </c>
      <c r="G24" s="65">
        <f>(E24/D24)*100</f>
        <v>49.47880821501044</v>
      </c>
      <c r="H24" s="65">
        <f>(E24/I24)*100</f>
        <v>83.80075240629941</v>
      </c>
      <c r="I24" s="64">
        <f>'95CK-1'!U12</f>
        <v>399784</v>
      </c>
    </row>
    <row r="25" spans="1:9" ht="24" customHeight="1">
      <c r="A25" s="66">
        <v>1</v>
      </c>
      <c r="B25" s="67" t="s">
        <v>13</v>
      </c>
      <c r="C25" s="69">
        <v>84719</v>
      </c>
      <c r="D25" s="69">
        <f>C25</f>
        <v>84719</v>
      </c>
      <c r="E25" s="69">
        <f>'95CK-1'!Q13</f>
        <v>26636</v>
      </c>
      <c r="F25" s="70">
        <f>SUM(E25/C25)*100</f>
        <v>31.44040888112466</v>
      </c>
      <c r="G25" s="70">
        <f>(E25/D25)*100</f>
        <v>31.44040888112466</v>
      </c>
      <c r="H25" s="70">
        <f>(E25/I25)*100</f>
        <v>89.72277427830363</v>
      </c>
      <c r="I25" s="203">
        <f>'95CK-1'!U13</f>
        <v>29687</v>
      </c>
    </row>
    <row r="26" spans="1:9" ht="24" customHeight="1">
      <c r="A26" s="66">
        <v>2</v>
      </c>
      <c r="B26" s="67" t="s">
        <v>14</v>
      </c>
      <c r="C26" s="69">
        <v>574727</v>
      </c>
      <c r="D26" s="69">
        <v>575883</v>
      </c>
      <c r="E26" s="69">
        <f>'95CK-1'!Q17</f>
        <v>308386</v>
      </c>
      <c r="F26" s="70">
        <f>SUM(E26/C26)*100</f>
        <v>53.65782362756578</v>
      </c>
      <c r="G26" s="70">
        <f>(E26/D26)*100</f>
        <v>53.55011347791131</v>
      </c>
      <c r="H26" s="70">
        <f>(E26/I26)*100</f>
        <v>115.17082206719348</v>
      </c>
      <c r="I26" s="203">
        <f>'95CK-1'!U17</f>
        <v>267764</v>
      </c>
    </row>
    <row r="27" spans="1:9" ht="24" customHeight="1">
      <c r="A27" s="66">
        <v>3</v>
      </c>
      <c r="B27" s="67" t="s">
        <v>16</v>
      </c>
      <c r="C27" s="69">
        <v>16500</v>
      </c>
      <c r="D27" s="69">
        <f>C27</f>
        <v>16500</v>
      </c>
      <c r="E27" s="69"/>
      <c r="F27" s="70">
        <f>SUM(E27/C27)*100</f>
        <v>0</v>
      </c>
      <c r="G27" s="70">
        <f>(E27/D27)*100</f>
        <v>0</v>
      </c>
      <c r="H27" s="65"/>
      <c r="I27" s="203">
        <f>'95CK-1'!U31</f>
        <v>0</v>
      </c>
    </row>
    <row r="28" spans="1:8" ht="19.5" customHeight="1">
      <c r="A28" s="60" t="s">
        <v>10</v>
      </c>
      <c r="B28" s="44" t="s">
        <v>36</v>
      </c>
      <c r="C28" s="44"/>
      <c r="D28" s="69"/>
      <c r="E28" s="172"/>
      <c r="F28" s="65"/>
      <c r="G28" s="65"/>
      <c r="H28" s="65"/>
    </row>
    <row r="29" spans="1:8" ht="24" customHeight="1">
      <c r="A29" s="60" t="s">
        <v>15</v>
      </c>
      <c r="B29" s="44" t="s">
        <v>30</v>
      </c>
      <c r="C29" s="44"/>
      <c r="D29" s="69"/>
      <c r="E29" s="69">
        <v>0</v>
      </c>
      <c r="F29" s="65"/>
      <c r="G29" s="65"/>
      <c r="H29" s="65"/>
    </row>
    <row r="30" spans="1:8" ht="24" customHeight="1">
      <c r="A30" s="60" t="s">
        <v>23</v>
      </c>
      <c r="B30" s="44" t="s">
        <v>113</v>
      </c>
      <c r="C30" s="44"/>
      <c r="D30" s="69"/>
      <c r="E30" s="113">
        <f>'95CK-1'!Q32</f>
        <v>55473</v>
      </c>
      <c r="F30" s="65"/>
      <c r="G30" s="65"/>
      <c r="H30" s="65"/>
    </row>
    <row r="31" spans="1:9" ht="24" customHeight="1">
      <c r="A31" s="60" t="s">
        <v>25</v>
      </c>
      <c r="B31" s="44" t="s">
        <v>34</v>
      </c>
      <c r="C31" s="71">
        <v>146782</v>
      </c>
      <c r="D31" s="71">
        <f>C31</f>
        <v>146782</v>
      </c>
      <c r="E31" s="71">
        <f>'95CK-1'!Q33</f>
        <v>56825</v>
      </c>
      <c r="F31" s="65">
        <f>SUM(E31/C31)*100</f>
        <v>38.713874998296795</v>
      </c>
      <c r="G31" s="65">
        <f>(E31/D31)*100</f>
        <v>38.713874998296795</v>
      </c>
      <c r="H31" s="65">
        <f>(E31/I31)*100</f>
        <v>171.85846060789353</v>
      </c>
      <c r="I31" s="203">
        <f>'95CK-1'!U33</f>
        <v>33065</v>
      </c>
    </row>
    <row r="32" spans="1:9" ht="24" customHeight="1">
      <c r="A32" s="60" t="s">
        <v>27</v>
      </c>
      <c r="B32" s="61" t="s">
        <v>96</v>
      </c>
      <c r="C32" s="44"/>
      <c r="D32" s="71">
        <v>8319</v>
      </c>
      <c r="E32" s="71">
        <f>'95CK-1'!Q37</f>
        <v>500</v>
      </c>
      <c r="F32" s="65"/>
      <c r="G32" s="65">
        <f>(E32/D32)*100</f>
        <v>6.010337780983291</v>
      </c>
      <c r="H32" s="65"/>
      <c r="I32" s="203">
        <f>'95CK-1'!U37</f>
        <v>0</v>
      </c>
    </row>
    <row r="33" spans="1:8" ht="31.5" customHeight="1">
      <c r="A33" s="60" t="s">
        <v>115</v>
      </c>
      <c r="B33" s="61" t="s">
        <v>127</v>
      </c>
      <c r="C33" s="173"/>
      <c r="D33" s="71">
        <v>12150</v>
      </c>
      <c r="E33" s="174"/>
      <c r="F33" s="174"/>
      <c r="G33" s="174"/>
      <c r="H33" s="174"/>
    </row>
  </sheetData>
  <sheetProtection/>
  <mergeCells count="12">
    <mergeCell ref="F7:H7"/>
    <mergeCell ref="C7:C8"/>
    <mergeCell ref="F1:H1"/>
    <mergeCell ref="A4:H4"/>
    <mergeCell ref="A1:B1"/>
    <mergeCell ref="E7:E8"/>
    <mergeCell ref="D7:D8"/>
    <mergeCell ref="B7:B8"/>
    <mergeCell ref="A7:A8"/>
    <mergeCell ref="G6:H6"/>
    <mergeCell ref="A2:B2"/>
    <mergeCell ref="A5:H5"/>
  </mergeCells>
  <printOptions/>
  <pageMargins left="0.5118110236220472" right="0.3937007874015748" top="0.5905511811023623" bottom="0.5905511811023623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0"/>
  <sheetViews>
    <sheetView zoomScale="150" zoomScaleNormal="150" zoomScalePageLayoutView="0" workbookViewId="0" topLeftCell="A1">
      <selection activeCell="A6" sqref="A6:H6"/>
    </sheetView>
  </sheetViews>
  <sheetFormatPr defaultColWidth="10.8515625" defaultRowHeight="16.5" customHeight="1"/>
  <cols>
    <col min="1" max="1" width="5.140625" style="3" customWidth="1"/>
    <col min="2" max="2" width="39.140625" style="3" customWidth="1"/>
    <col min="3" max="3" width="10.421875" style="3" customWidth="1"/>
    <col min="4" max="4" width="11.421875" style="3" customWidth="1"/>
    <col min="5" max="5" width="10.7109375" style="3" customWidth="1"/>
    <col min="6" max="6" width="9.00390625" style="3" customWidth="1"/>
    <col min="7" max="7" width="9.28125" style="3" customWidth="1"/>
    <col min="8" max="8" width="9.7109375" style="3" customWidth="1"/>
    <col min="9" max="9" width="11.8515625" style="5" hidden="1" customWidth="1"/>
    <col min="10" max="10" width="11.8515625" style="3" customWidth="1"/>
    <col min="11" max="12" width="10.8515625" style="3" customWidth="1"/>
    <col min="13" max="16384" width="10.8515625" style="3" customWidth="1"/>
  </cols>
  <sheetData>
    <row r="1" spans="1:8" ht="16.5" customHeight="1">
      <c r="A1" s="225" t="s">
        <v>135</v>
      </c>
      <c r="B1" s="225"/>
      <c r="C1" s="4"/>
      <c r="D1" s="4"/>
      <c r="G1" s="239" t="s">
        <v>0</v>
      </c>
      <c r="H1" s="239"/>
    </row>
    <row r="2" spans="1:4" ht="17.25" customHeight="1">
      <c r="A2" s="235" t="s">
        <v>134</v>
      </c>
      <c r="B2" s="235"/>
      <c r="C2" s="6"/>
      <c r="D2" s="6"/>
    </row>
    <row r="3" spans="1:8" ht="19.5" customHeight="1" hidden="1">
      <c r="A3" s="175"/>
      <c r="B3" s="175"/>
      <c r="C3" s="6"/>
      <c r="D3" s="6"/>
      <c r="E3" s="7"/>
      <c r="F3" s="7"/>
      <c r="G3" s="7"/>
      <c r="H3" s="7"/>
    </row>
    <row r="4" spans="1:8" ht="14.25" customHeight="1">
      <c r="A4" s="175"/>
      <c r="B4" s="175"/>
      <c r="C4" s="6"/>
      <c r="D4" s="6"/>
      <c r="E4" s="7"/>
      <c r="F4" s="7"/>
      <c r="G4" s="7"/>
      <c r="H4" s="7"/>
    </row>
    <row r="5" spans="1:8" ht="39.75" customHeight="1">
      <c r="A5" s="240" t="s">
        <v>141</v>
      </c>
      <c r="B5" s="240"/>
      <c r="C5" s="240"/>
      <c r="D5" s="240"/>
      <c r="E5" s="240"/>
      <c r="F5" s="240"/>
      <c r="G5" s="240"/>
      <c r="H5" s="240"/>
    </row>
    <row r="6" spans="1:8" ht="21.75" customHeight="1">
      <c r="A6" s="241" t="s">
        <v>152</v>
      </c>
      <c r="B6" s="241"/>
      <c r="C6" s="241"/>
      <c r="D6" s="241"/>
      <c r="E6" s="241"/>
      <c r="F6" s="241"/>
      <c r="G6" s="241"/>
      <c r="H6" s="241"/>
    </row>
    <row r="7" spans="3:8" ht="21" customHeight="1">
      <c r="C7" s="8"/>
      <c r="E7" s="234"/>
      <c r="F7" s="234"/>
      <c r="G7" s="234" t="s">
        <v>124</v>
      </c>
      <c r="H7" s="234"/>
    </row>
    <row r="8" spans="1:9" s="10" customFormat="1" ht="21" customHeight="1">
      <c r="A8" s="232" t="s">
        <v>145</v>
      </c>
      <c r="B8" s="230" t="s">
        <v>97</v>
      </c>
      <c r="C8" s="228" t="s">
        <v>146</v>
      </c>
      <c r="D8" s="228" t="s">
        <v>147</v>
      </c>
      <c r="E8" s="226" t="s">
        <v>148</v>
      </c>
      <c r="F8" s="237" t="s">
        <v>98</v>
      </c>
      <c r="G8" s="237"/>
      <c r="H8" s="237"/>
      <c r="I8" s="238" t="s">
        <v>142</v>
      </c>
    </row>
    <row r="9" spans="1:9" s="10" customFormat="1" ht="45" customHeight="1">
      <c r="A9" s="233"/>
      <c r="B9" s="231"/>
      <c r="C9" s="229"/>
      <c r="D9" s="229" t="s">
        <v>51</v>
      </c>
      <c r="E9" s="227"/>
      <c r="F9" s="86" t="s">
        <v>99</v>
      </c>
      <c r="G9" s="86" t="s">
        <v>100</v>
      </c>
      <c r="H9" s="86" t="s">
        <v>60</v>
      </c>
      <c r="I9" s="238"/>
    </row>
    <row r="10" spans="1:9" s="221" customFormat="1" ht="15.75" customHeight="1">
      <c r="A10" s="219" t="s">
        <v>1</v>
      </c>
      <c r="B10" s="219" t="s">
        <v>11</v>
      </c>
      <c r="C10" s="219">
        <v>1</v>
      </c>
      <c r="D10" s="219">
        <v>2</v>
      </c>
      <c r="E10" s="219">
        <v>3</v>
      </c>
      <c r="F10" s="219">
        <v>4</v>
      </c>
      <c r="G10" s="219">
        <v>5</v>
      </c>
      <c r="H10" s="219">
        <v>6</v>
      </c>
      <c r="I10" s="220"/>
    </row>
    <row r="11" spans="1:10" s="37" customFormat="1" ht="27.75" customHeight="1">
      <c r="A11" s="9" t="s">
        <v>1</v>
      </c>
      <c r="B11" s="38" t="s">
        <v>112</v>
      </c>
      <c r="C11" s="11">
        <f>C12+C28+C33+C34+C35+C36+C37+C38</f>
        <v>993976</v>
      </c>
      <c r="D11" s="11">
        <f>D12+D28+D33+D34+D35+D36+D37+D38</f>
        <v>1036855</v>
      </c>
      <c r="E11" s="11">
        <f>E12+E28+E33+E34+E35+E36</f>
        <v>788089</v>
      </c>
      <c r="F11" s="29">
        <f aca="true" t="shared" si="0" ref="F11:F18">(E11/C11)*100</f>
        <v>79.28652200857968</v>
      </c>
      <c r="G11" s="29">
        <f aca="true" t="shared" si="1" ref="G11:G18">(E11/D11)*100</f>
        <v>76.00763848368383</v>
      </c>
      <c r="H11" s="29">
        <f aca="true" t="shared" si="2" ref="H11:H24">(E11/I11)*100</f>
        <v>107.1353899736406</v>
      </c>
      <c r="I11" s="11">
        <f>I12+I28+I33+I34+I35+I36</f>
        <v>735601</v>
      </c>
      <c r="J11" s="36"/>
    </row>
    <row r="12" spans="1:11" ht="23.25" customHeight="1">
      <c r="A12" s="9" t="s">
        <v>2</v>
      </c>
      <c r="B12" s="38" t="s">
        <v>101</v>
      </c>
      <c r="C12" s="11">
        <f>C13+C27</f>
        <v>393500</v>
      </c>
      <c r="D12" s="11">
        <f>D13+D27</f>
        <v>413500</v>
      </c>
      <c r="E12" s="11">
        <f>E13+E27</f>
        <v>256821</v>
      </c>
      <c r="F12" s="29">
        <f t="shared" si="0"/>
        <v>65.26581956797966</v>
      </c>
      <c r="G12" s="29">
        <f t="shared" si="1"/>
        <v>62.10906892382104</v>
      </c>
      <c r="H12" s="29">
        <f t="shared" si="2"/>
        <v>104.12365700385162</v>
      </c>
      <c r="I12" s="11">
        <f>I13+I27</f>
        <v>246650</v>
      </c>
      <c r="J12" s="12"/>
      <c r="K12" s="8"/>
    </row>
    <row r="13" spans="1:9" ht="24" customHeight="1">
      <c r="A13" s="9" t="s">
        <v>102</v>
      </c>
      <c r="B13" s="39" t="s">
        <v>103</v>
      </c>
      <c r="C13" s="14">
        <f>C14+C20+C21+C22+C23+C24+C25</f>
        <v>273500</v>
      </c>
      <c r="D13" s="14">
        <f>D14+D20+D21+D22+D23+D24+D25</f>
        <v>280500</v>
      </c>
      <c r="E13" s="14">
        <f>E14+E20+E21+E22+E23+E24+E25</f>
        <v>175328</v>
      </c>
      <c r="F13" s="29">
        <f t="shared" si="0"/>
        <v>64.10530164533822</v>
      </c>
      <c r="G13" s="29">
        <f t="shared" si="1"/>
        <v>62.50552584670231</v>
      </c>
      <c r="H13" s="29">
        <f t="shared" si="2"/>
        <v>106.98821059825723</v>
      </c>
      <c r="I13" s="14">
        <f>I14+I20+I21+I22+I23+I24+I25+I26</f>
        <v>163876</v>
      </c>
    </row>
    <row r="14" spans="1:9" ht="21" customHeight="1">
      <c r="A14" s="40">
        <v>1</v>
      </c>
      <c r="B14" s="41" t="s">
        <v>104</v>
      </c>
      <c r="C14" s="15">
        <f>SUM(C15:C18)</f>
        <v>110000</v>
      </c>
      <c r="D14" s="15">
        <f>SUM(D15:D18)</f>
        <v>110000</v>
      </c>
      <c r="E14" s="15">
        <f>SUM(E15:E18)</f>
        <v>55904</v>
      </c>
      <c r="F14" s="30">
        <f t="shared" si="0"/>
        <v>50.82181818181818</v>
      </c>
      <c r="G14" s="30">
        <f t="shared" si="1"/>
        <v>50.82181818181818</v>
      </c>
      <c r="H14" s="30">
        <f t="shared" si="2"/>
        <v>94.44519529666171</v>
      </c>
      <c r="I14" s="16">
        <f>SUM(I15:I19)</f>
        <v>59192</v>
      </c>
    </row>
    <row r="15" spans="1:10" s="20" customFormat="1" ht="18" customHeight="1">
      <c r="A15" s="75" t="s">
        <v>6</v>
      </c>
      <c r="B15" s="17" t="s">
        <v>106</v>
      </c>
      <c r="C15" s="18">
        <v>19000</v>
      </c>
      <c r="D15" s="18">
        <f>C15</f>
        <v>19000</v>
      </c>
      <c r="E15" s="18">
        <v>10981</v>
      </c>
      <c r="F15" s="19">
        <f t="shared" si="0"/>
        <v>57.794736842105266</v>
      </c>
      <c r="G15" s="19">
        <f t="shared" si="1"/>
        <v>57.794736842105266</v>
      </c>
      <c r="H15" s="19">
        <f t="shared" si="2"/>
        <v>102.88578656422749</v>
      </c>
      <c r="I15" s="35">
        <v>10673</v>
      </c>
      <c r="J15" s="25"/>
    </row>
    <row r="16" spans="1:10" s="20" customFormat="1" ht="18" customHeight="1">
      <c r="A16" s="75" t="s">
        <v>6</v>
      </c>
      <c r="B16" s="17" t="s">
        <v>105</v>
      </c>
      <c r="C16" s="18">
        <v>84300</v>
      </c>
      <c r="D16" s="18">
        <f>C16</f>
        <v>84300</v>
      </c>
      <c r="E16" s="18">
        <v>38762</v>
      </c>
      <c r="F16" s="19">
        <f t="shared" si="0"/>
        <v>45.98102016607355</v>
      </c>
      <c r="G16" s="19">
        <f t="shared" si="1"/>
        <v>45.98102016607355</v>
      </c>
      <c r="H16" s="19">
        <f t="shared" si="2"/>
        <v>87.5324616670054</v>
      </c>
      <c r="I16" s="35">
        <v>44283</v>
      </c>
      <c r="J16" s="25"/>
    </row>
    <row r="17" spans="1:10" s="20" customFormat="1" ht="18" customHeight="1">
      <c r="A17" s="75" t="s">
        <v>6</v>
      </c>
      <c r="B17" s="17" t="s">
        <v>107</v>
      </c>
      <c r="C17" s="18">
        <v>200</v>
      </c>
      <c r="D17" s="18">
        <f>C17</f>
        <v>200</v>
      </c>
      <c r="E17" s="18">
        <v>180</v>
      </c>
      <c r="F17" s="19">
        <f t="shared" si="0"/>
        <v>90</v>
      </c>
      <c r="G17" s="19">
        <f t="shared" si="1"/>
        <v>90</v>
      </c>
      <c r="H17" s="19">
        <f t="shared" si="2"/>
        <v>109.09090909090908</v>
      </c>
      <c r="I17" s="35">
        <v>165</v>
      </c>
      <c r="J17" s="25"/>
    </row>
    <row r="18" spans="1:9" s="20" customFormat="1" ht="18" customHeight="1">
      <c r="A18" s="75" t="s">
        <v>6</v>
      </c>
      <c r="B18" s="17" t="s">
        <v>136</v>
      </c>
      <c r="C18" s="18">
        <v>6500</v>
      </c>
      <c r="D18" s="18">
        <f>C18</f>
        <v>6500</v>
      </c>
      <c r="E18" s="18">
        <v>5981</v>
      </c>
      <c r="F18" s="19">
        <f t="shared" si="0"/>
        <v>92.0153846153846</v>
      </c>
      <c r="G18" s="19">
        <f t="shared" si="1"/>
        <v>92.0153846153846</v>
      </c>
      <c r="H18" s="19">
        <f t="shared" si="2"/>
        <v>146.9172193564235</v>
      </c>
      <c r="I18" s="35">
        <v>4071</v>
      </c>
    </row>
    <row r="19" spans="1:9" s="20" customFormat="1" ht="18" customHeight="1" hidden="1">
      <c r="A19" s="75" t="s">
        <v>6</v>
      </c>
      <c r="B19" s="17" t="s">
        <v>138</v>
      </c>
      <c r="C19" s="18"/>
      <c r="D19" s="18"/>
      <c r="E19" s="18"/>
      <c r="F19" s="19"/>
      <c r="G19" s="19"/>
      <c r="H19" s="19"/>
      <c r="I19" s="35"/>
    </row>
    <row r="20" spans="1:10" ht="21.75" customHeight="1">
      <c r="A20" s="42">
        <v>2</v>
      </c>
      <c r="B20" s="41" t="s">
        <v>3</v>
      </c>
      <c r="C20" s="21">
        <v>63000</v>
      </c>
      <c r="D20" s="21">
        <v>66000</v>
      </c>
      <c r="E20" s="21">
        <v>47854</v>
      </c>
      <c r="F20" s="30">
        <f aca="true" t="shared" si="3" ref="F20:F27">(E20/C20)*100</f>
        <v>75.95873015873016</v>
      </c>
      <c r="G20" s="30">
        <f aca="true" t="shared" si="4" ref="G20:G27">(E20/D20)*100</f>
        <v>72.5060606060606</v>
      </c>
      <c r="H20" s="30">
        <f t="shared" si="2"/>
        <v>128.66745536674554</v>
      </c>
      <c r="I20" s="34">
        <v>37192</v>
      </c>
      <c r="J20" s="25"/>
    </row>
    <row r="21" spans="1:10" ht="21.75" customHeight="1">
      <c r="A21" s="42">
        <v>3</v>
      </c>
      <c r="B21" s="41" t="s">
        <v>4</v>
      </c>
      <c r="C21" s="21">
        <v>2000</v>
      </c>
      <c r="D21" s="21">
        <v>2000</v>
      </c>
      <c r="E21" s="21">
        <v>2013</v>
      </c>
      <c r="F21" s="30">
        <f t="shared" si="3"/>
        <v>100.64999999999999</v>
      </c>
      <c r="G21" s="30">
        <f t="shared" si="4"/>
        <v>100.64999999999999</v>
      </c>
      <c r="H21" s="30">
        <f t="shared" si="2"/>
        <v>146.08127721335268</v>
      </c>
      <c r="I21" s="34">
        <v>1378</v>
      </c>
      <c r="J21" s="25"/>
    </row>
    <row r="22" spans="1:9" ht="21.75" customHeight="1">
      <c r="A22" s="42">
        <v>4</v>
      </c>
      <c r="B22" s="41" t="s">
        <v>109</v>
      </c>
      <c r="C22" s="21">
        <v>57000</v>
      </c>
      <c r="D22" s="21">
        <v>60000</v>
      </c>
      <c r="E22" s="21">
        <v>43955</v>
      </c>
      <c r="F22" s="30">
        <f t="shared" si="3"/>
        <v>77.1140350877193</v>
      </c>
      <c r="G22" s="30">
        <f t="shared" si="4"/>
        <v>73.25833333333334</v>
      </c>
      <c r="H22" s="30">
        <f t="shared" si="2"/>
        <v>117.02297595910652</v>
      </c>
      <c r="I22" s="34">
        <v>37561</v>
      </c>
    </row>
    <row r="23" spans="1:9" ht="21.75" customHeight="1">
      <c r="A23" s="42">
        <v>5</v>
      </c>
      <c r="B23" s="41" t="s">
        <v>5</v>
      </c>
      <c r="C23" s="15">
        <v>15000</v>
      </c>
      <c r="D23" s="15">
        <v>16000</v>
      </c>
      <c r="E23" s="21">
        <v>12645</v>
      </c>
      <c r="F23" s="30">
        <f t="shared" si="3"/>
        <v>84.3</v>
      </c>
      <c r="G23" s="30">
        <f t="shared" si="4"/>
        <v>79.03125</v>
      </c>
      <c r="H23" s="30">
        <f t="shared" si="2"/>
        <v>106.37671405737362</v>
      </c>
      <c r="I23" s="34">
        <v>11887</v>
      </c>
    </row>
    <row r="24" spans="1:9" ht="21.75" customHeight="1">
      <c r="A24" s="42">
        <v>6</v>
      </c>
      <c r="B24" s="41" t="s">
        <v>7</v>
      </c>
      <c r="C24" s="21">
        <v>2500</v>
      </c>
      <c r="D24" s="21">
        <v>2500</v>
      </c>
      <c r="E24" s="21">
        <v>1100</v>
      </c>
      <c r="F24" s="30">
        <f t="shared" si="3"/>
        <v>44</v>
      </c>
      <c r="G24" s="30">
        <f t="shared" si="4"/>
        <v>44</v>
      </c>
      <c r="H24" s="30">
        <f t="shared" si="2"/>
        <v>111.56186612576064</v>
      </c>
      <c r="I24" s="34">
        <v>986</v>
      </c>
    </row>
    <row r="25" spans="1:10" ht="18.75" customHeight="1">
      <c r="A25" s="42">
        <v>7</v>
      </c>
      <c r="B25" s="41" t="s">
        <v>9</v>
      </c>
      <c r="C25" s="21">
        <v>24000</v>
      </c>
      <c r="D25" s="21">
        <v>24000</v>
      </c>
      <c r="E25" s="21">
        <v>11857</v>
      </c>
      <c r="F25" s="30">
        <f t="shared" si="3"/>
        <v>49.40416666666667</v>
      </c>
      <c r="G25" s="30">
        <f t="shared" si="4"/>
        <v>49.40416666666667</v>
      </c>
      <c r="H25" s="30">
        <f aca="true" t="shared" si="5" ref="H25:H36">(E25/I25)*100</f>
        <v>75.76357827476038</v>
      </c>
      <c r="I25" s="34">
        <v>15650</v>
      </c>
      <c r="J25" s="8"/>
    </row>
    <row r="26" spans="1:10" ht="18.75" customHeight="1" hidden="1">
      <c r="A26" s="42"/>
      <c r="B26" s="41"/>
      <c r="C26" s="21"/>
      <c r="D26" s="21"/>
      <c r="E26" s="21"/>
      <c r="F26" s="30"/>
      <c r="G26" s="30"/>
      <c r="H26" s="30"/>
      <c r="I26" s="34">
        <v>30</v>
      </c>
      <c r="J26" s="8"/>
    </row>
    <row r="27" spans="1:10" s="13" customFormat="1" ht="21" customHeight="1">
      <c r="A27" s="9" t="s">
        <v>110</v>
      </c>
      <c r="B27" s="39" t="s">
        <v>8</v>
      </c>
      <c r="C27" s="22">
        <v>120000</v>
      </c>
      <c r="D27" s="22">
        <v>133000</v>
      </c>
      <c r="E27" s="22">
        <v>81493</v>
      </c>
      <c r="F27" s="29">
        <f t="shared" si="3"/>
        <v>67.91083333333333</v>
      </c>
      <c r="G27" s="29">
        <f t="shared" si="4"/>
        <v>61.27293233082707</v>
      </c>
      <c r="H27" s="29">
        <f t="shared" si="5"/>
        <v>98.45241259332641</v>
      </c>
      <c r="I27" s="23">
        <v>82774</v>
      </c>
      <c r="J27" s="12"/>
    </row>
    <row r="28" spans="1:9" s="13" customFormat="1" ht="33" customHeight="1">
      <c r="A28" s="9" t="s">
        <v>10</v>
      </c>
      <c r="B28" s="39" t="s">
        <v>123</v>
      </c>
      <c r="C28" s="22"/>
      <c r="D28" s="22"/>
      <c r="E28" s="22">
        <v>1241</v>
      </c>
      <c r="F28" s="29"/>
      <c r="G28" s="29"/>
      <c r="H28" s="29">
        <f t="shared" si="5"/>
        <v>6.277505184885427</v>
      </c>
      <c r="I28" s="177">
        <v>19769</v>
      </c>
    </row>
    <row r="29" spans="1:10" ht="17.25" customHeight="1" hidden="1">
      <c r="A29" s="42">
        <v>1</v>
      </c>
      <c r="B29" s="41" t="s">
        <v>105</v>
      </c>
      <c r="C29" s="21"/>
      <c r="D29" s="21"/>
      <c r="E29" s="21">
        <v>760</v>
      </c>
      <c r="F29" s="30"/>
      <c r="G29" s="30"/>
      <c r="H29" s="29" t="e">
        <f t="shared" si="5"/>
        <v>#DIV/0!</v>
      </c>
      <c r="J29" s="25"/>
    </row>
    <row r="30" spans="1:10" ht="17.25" customHeight="1" hidden="1">
      <c r="A30" s="42">
        <v>2</v>
      </c>
      <c r="B30" s="41" t="s">
        <v>106</v>
      </c>
      <c r="C30" s="21">
        <v>0</v>
      </c>
      <c r="D30" s="21">
        <v>0</v>
      </c>
      <c r="E30" s="21"/>
      <c r="F30" s="30"/>
      <c r="G30" s="30"/>
      <c r="H30" s="29" t="e">
        <f t="shared" si="5"/>
        <v>#DIV/0!</v>
      </c>
      <c r="J30" s="25"/>
    </row>
    <row r="31" spans="1:10" ht="17.25" customHeight="1" hidden="1">
      <c r="A31" s="42"/>
      <c r="B31" s="41"/>
      <c r="C31" s="21"/>
      <c r="D31" s="21"/>
      <c r="E31" s="21"/>
      <c r="F31" s="30"/>
      <c r="G31" s="30"/>
      <c r="H31" s="29" t="e">
        <f t="shared" si="5"/>
        <v>#DIV/0!</v>
      </c>
      <c r="J31" s="25"/>
    </row>
    <row r="32" spans="1:9" ht="20.25" customHeight="1" hidden="1">
      <c r="A32" s="42">
        <v>3</v>
      </c>
      <c r="B32" s="41" t="s">
        <v>108</v>
      </c>
      <c r="C32" s="21"/>
      <c r="D32" s="21"/>
      <c r="E32" s="21" t="e">
        <f>#REF!+#REF!+#REF!</f>
        <v>#REF!</v>
      </c>
      <c r="F32" s="30"/>
      <c r="G32" s="30"/>
      <c r="H32" s="29" t="e">
        <f t="shared" si="5"/>
        <v>#REF!</v>
      </c>
      <c r="I32" s="5">
        <v>22</v>
      </c>
    </row>
    <row r="33" spans="1:11" s="13" customFormat="1" ht="33.75" customHeight="1">
      <c r="A33" s="9" t="s">
        <v>15</v>
      </c>
      <c r="B33" s="39" t="s">
        <v>122</v>
      </c>
      <c r="C33" s="22"/>
      <c r="D33" s="22"/>
      <c r="E33" s="22">
        <v>3351</v>
      </c>
      <c r="F33" s="22"/>
      <c r="G33" s="22"/>
      <c r="H33" s="29">
        <f t="shared" si="5"/>
        <v>147.23198594024603</v>
      </c>
      <c r="I33" s="24">
        <v>2276</v>
      </c>
      <c r="J33" s="12"/>
      <c r="K33" s="12"/>
    </row>
    <row r="34" spans="1:9" s="13" customFormat="1" ht="21.75" customHeight="1">
      <c r="A34" s="58" t="s">
        <v>23</v>
      </c>
      <c r="B34" s="76" t="s">
        <v>137</v>
      </c>
      <c r="C34" s="47">
        <v>10183</v>
      </c>
      <c r="D34" s="22">
        <v>20912</v>
      </c>
      <c r="E34" s="47">
        <v>2837</v>
      </c>
      <c r="F34" s="30"/>
      <c r="G34" s="29">
        <f>(E34/D34)*100</f>
        <v>13.566373374139252</v>
      </c>
      <c r="H34" s="29">
        <f t="shared" si="5"/>
        <v>212.6686656671664</v>
      </c>
      <c r="I34" s="13">
        <v>1334</v>
      </c>
    </row>
    <row r="35" spans="1:9" s="13" customFormat="1" ht="26.25" customHeight="1">
      <c r="A35" s="58" t="s">
        <v>25</v>
      </c>
      <c r="B35" s="76" t="s">
        <v>20</v>
      </c>
      <c r="C35" s="47">
        <v>590293</v>
      </c>
      <c r="D35" s="22">
        <f>C35</f>
        <v>590293</v>
      </c>
      <c r="E35" s="27">
        <v>323293</v>
      </c>
      <c r="F35" s="30"/>
      <c r="G35" s="29"/>
      <c r="H35" s="29">
        <f t="shared" si="5"/>
        <v>102.68648657233155</v>
      </c>
      <c r="I35" s="83">
        <v>314835</v>
      </c>
    </row>
    <row r="36" spans="1:9" s="13" customFormat="1" ht="29.25" customHeight="1">
      <c r="A36" s="58" t="s">
        <v>27</v>
      </c>
      <c r="B36" s="76" t="s">
        <v>24</v>
      </c>
      <c r="C36" s="47"/>
      <c r="D36" s="22"/>
      <c r="E36" s="27">
        <v>200546</v>
      </c>
      <c r="F36" s="30"/>
      <c r="G36" s="29"/>
      <c r="H36" s="29">
        <f t="shared" si="5"/>
        <v>133.04364555484054</v>
      </c>
      <c r="I36" s="83">
        <v>150737</v>
      </c>
    </row>
    <row r="37" spans="1:9" s="13" customFormat="1" ht="29.25" customHeight="1">
      <c r="A37" s="58" t="s">
        <v>115</v>
      </c>
      <c r="B37" s="76" t="s">
        <v>125</v>
      </c>
      <c r="C37" s="47"/>
      <c r="D37" s="22"/>
      <c r="E37" s="27"/>
      <c r="F37" s="30"/>
      <c r="G37" s="29"/>
      <c r="H37" s="29"/>
      <c r="I37" s="59"/>
    </row>
    <row r="38" spans="1:9" s="13" customFormat="1" ht="29.25" customHeight="1">
      <c r="A38" s="58" t="s">
        <v>116</v>
      </c>
      <c r="B38" s="76" t="s">
        <v>126</v>
      </c>
      <c r="C38" s="47"/>
      <c r="D38" s="22">
        <v>12150</v>
      </c>
      <c r="E38" s="27"/>
      <c r="F38" s="30"/>
      <c r="G38" s="29"/>
      <c r="H38" s="29"/>
      <c r="I38" s="59"/>
    </row>
    <row r="39" spans="1:11" s="79" customFormat="1" ht="36" customHeight="1">
      <c r="A39" s="9" t="s">
        <v>11</v>
      </c>
      <c r="B39" s="38" t="s">
        <v>119</v>
      </c>
      <c r="C39" s="27">
        <f>C40+C43+C45+C46+C47+C48+C49+C50</f>
        <v>822728</v>
      </c>
      <c r="D39" s="27">
        <f>D40+D43+D45+D46+D47+D48+D49+D50</f>
        <v>844353</v>
      </c>
      <c r="E39" s="27">
        <f>E40+E43+E45+E46+E47+E48+E49+E50</f>
        <v>696573.75</v>
      </c>
      <c r="F39" s="77">
        <f>(E39/C39)*100</f>
        <v>84.66634780875332</v>
      </c>
      <c r="G39" s="77">
        <f>(E39/D39)*100</f>
        <v>82.4979303679859</v>
      </c>
      <c r="H39" s="77">
        <f aca="true" t="shared" si="6" ref="H39:H46">(E39/I39)*100</f>
        <v>108.83087394828792</v>
      </c>
      <c r="I39" s="78">
        <f>I40+I43+I45+I46+I49+I50</f>
        <v>640051.6</v>
      </c>
      <c r="J39" s="80"/>
      <c r="K39" s="80"/>
    </row>
    <row r="40" spans="1:9" ht="32.25" customHeight="1">
      <c r="A40" s="9" t="s">
        <v>2</v>
      </c>
      <c r="B40" s="76" t="s">
        <v>17</v>
      </c>
      <c r="C40" s="28">
        <f>C41+C42</f>
        <v>154325</v>
      </c>
      <c r="D40" s="28">
        <f>D41+D42</f>
        <v>154325</v>
      </c>
      <c r="E40" s="28">
        <f>E41+E42</f>
        <v>120443.5</v>
      </c>
      <c r="F40" s="29">
        <f>(E40/C40)*100</f>
        <v>78.04535882067066</v>
      </c>
      <c r="G40" s="29">
        <f>(E40/D40)*100</f>
        <v>78.04535882067066</v>
      </c>
      <c r="H40" s="29">
        <f t="shared" si="6"/>
        <v>105.47661143375629</v>
      </c>
      <c r="I40" s="33">
        <f>I41+I42</f>
        <v>114189.76999999999</v>
      </c>
    </row>
    <row r="41" spans="1:9" ht="32.25" customHeight="1">
      <c r="A41" s="42">
        <v>1</v>
      </c>
      <c r="B41" s="67" t="s">
        <v>19</v>
      </c>
      <c r="C41" s="26">
        <f>'93ck'!C12</f>
        <v>78500</v>
      </c>
      <c r="D41" s="26">
        <f>C41</f>
        <v>78500</v>
      </c>
      <c r="E41" s="26">
        <f>(E15+E16+E17+E20+E21)*45%</f>
        <v>44905.5</v>
      </c>
      <c r="F41" s="30">
        <f>(E41/C41)*100</f>
        <v>57.20445859872611</v>
      </c>
      <c r="G41" s="30">
        <f>(E41/D41)*100</f>
        <v>57.20445859872611</v>
      </c>
      <c r="H41" s="30">
        <f t="shared" si="6"/>
        <v>101.97736924707455</v>
      </c>
      <c r="I41" s="32">
        <f>(I21+I20+I17+I16+I15)*47%</f>
        <v>44034.77</v>
      </c>
    </row>
    <row r="42" spans="1:9" ht="30" customHeight="1">
      <c r="A42" s="42">
        <v>2</v>
      </c>
      <c r="B42" s="67" t="s">
        <v>18</v>
      </c>
      <c r="C42" s="26">
        <f>'93ck'!C13</f>
        <v>75825</v>
      </c>
      <c r="D42" s="26">
        <f>C42</f>
        <v>75825</v>
      </c>
      <c r="E42" s="26">
        <f>E24+E22+E18+E25+E23</f>
        <v>75538</v>
      </c>
      <c r="F42" s="30">
        <f>(E42/C42)*100</f>
        <v>99.62149686778767</v>
      </c>
      <c r="G42" s="30">
        <f>(E42/D42)*100</f>
        <v>99.62149686778767</v>
      </c>
      <c r="H42" s="30">
        <f t="shared" si="6"/>
        <v>107.67300976409379</v>
      </c>
      <c r="I42" s="31">
        <f>+I24+I22+I18+I23+I25</f>
        <v>70155</v>
      </c>
    </row>
    <row r="43" spans="1:9" ht="22.5" customHeight="1">
      <c r="A43" s="1" t="s">
        <v>10</v>
      </c>
      <c r="B43" s="44" t="s">
        <v>32</v>
      </c>
      <c r="C43" s="28">
        <f>C44</f>
        <v>0</v>
      </c>
      <c r="D43" s="28">
        <f>D44</f>
        <v>0</v>
      </c>
      <c r="E43" s="27">
        <f>E44</f>
        <v>558.45</v>
      </c>
      <c r="F43" s="29"/>
      <c r="G43" s="29"/>
      <c r="H43" s="29">
        <f t="shared" si="6"/>
        <v>6.010377304677537</v>
      </c>
      <c r="I43" s="33">
        <f>I44</f>
        <v>9291.43</v>
      </c>
    </row>
    <row r="44" spans="1:12" ht="25.5" customHeight="1">
      <c r="A44" s="42">
        <v>1</v>
      </c>
      <c r="B44" s="43" t="s">
        <v>111</v>
      </c>
      <c r="C44" s="26"/>
      <c r="D44" s="26"/>
      <c r="E44" s="26">
        <f>E28*45%</f>
        <v>558.45</v>
      </c>
      <c r="F44" s="30"/>
      <c r="G44" s="30"/>
      <c r="H44" s="30">
        <f t="shared" si="6"/>
        <v>6.010377304677537</v>
      </c>
      <c r="I44" s="31">
        <f>I28*47%</f>
        <v>9291.43</v>
      </c>
      <c r="L44" s="46"/>
    </row>
    <row r="45" spans="1:9" ht="24.75" customHeight="1">
      <c r="A45" s="9" t="s">
        <v>15</v>
      </c>
      <c r="B45" s="38" t="s">
        <v>8</v>
      </c>
      <c r="C45" s="27">
        <f>'93ck'!C20</f>
        <v>72000</v>
      </c>
      <c r="D45" s="27">
        <f>C45</f>
        <v>72000</v>
      </c>
      <c r="E45" s="27">
        <f>E27*60%</f>
        <v>48895.799999999996</v>
      </c>
      <c r="F45" s="29">
        <f>(E45/C45)*100</f>
        <v>67.91083333333333</v>
      </c>
      <c r="G45" s="29">
        <f>(E45/D45)*100</f>
        <v>67.91083333333333</v>
      </c>
      <c r="H45" s="29">
        <f t="shared" si="6"/>
        <v>98.4524125933264</v>
      </c>
      <c r="I45" s="51">
        <f>I27*60%</f>
        <v>49664.4</v>
      </c>
    </row>
    <row r="46" spans="1:9" ht="24.75" customHeight="1">
      <c r="A46" s="9" t="s">
        <v>23</v>
      </c>
      <c r="B46" s="76" t="s">
        <v>28</v>
      </c>
      <c r="C46" s="27"/>
      <c r="D46" s="22">
        <f>'93ck'!D21</f>
        <v>8319</v>
      </c>
      <c r="E46" s="27">
        <f>E34</f>
        <v>2837</v>
      </c>
      <c r="F46" s="29"/>
      <c r="G46" s="29">
        <f>(E46/D46)*100</f>
        <v>34.10265656929919</v>
      </c>
      <c r="H46" s="29">
        <f t="shared" si="6"/>
        <v>212.6686656671664</v>
      </c>
      <c r="I46" s="51">
        <f>I34</f>
        <v>1334</v>
      </c>
    </row>
    <row r="47" spans="1:9" ht="24.75" customHeight="1">
      <c r="A47" s="1" t="s">
        <v>25</v>
      </c>
      <c r="B47" s="76" t="s">
        <v>128</v>
      </c>
      <c r="C47" s="27">
        <v>6110</v>
      </c>
      <c r="D47" s="22">
        <v>7266</v>
      </c>
      <c r="E47" s="27"/>
      <c r="F47" s="29"/>
      <c r="G47" s="29"/>
      <c r="H47" s="29"/>
      <c r="I47" s="82"/>
    </row>
    <row r="48" spans="1:8" ht="28.5">
      <c r="A48" s="9" t="s">
        <v>27</v>
      </c>
      <c r="B48" s="76" t="s">
        <v>127</v>
      </c>
      <c r="C48" s="50"/>
      <c r="D48" s="22">
        <v>12150</v>
      </c>
      <c r="E48" s="50"/>
      <c r="F48" s="50"/>
      <c r="G48" s="50"/>
      <c r="H48" s="50"/>
    </row>
    <row r="49" spans="1:9" ht="27.75" customHeight="1">
      <c r="A49" s="9" t="s">
        <v>115</v>
      </c>
      <c r="B49" s="76" t="s">
        <v>20</v>
      </c>
      <c r="C49" s="28">
        <v>590293</v>
      </c>
      <c r="D49" s="28">
        <f>C49</f>
        <v>590293</v>
      </c>
      <c r="E49" s="28">
        <f>E35</f>
        <v>323293</v>
      </c>
      <c r="F49" s="50"/>
      <c r="G49" s="50"/>
      <c r="H49" s="50"/>
      <c r="I49" s="33">
        <f>I35</f>
        <v>314835</v>
      </c>
    </row>
    <row r="50" spans="1:9" ht="31.5" customHeight="1">
      <c r="A50" s="9" t="s">
        <v>116</v>
      </c>
      <c r="B50" s="76" t="s">
        <v>24</v>
      </c>
      <c r="C50" s="81"/>
      <c r="D50" s="81"/>
      <c r="E50" s="28">
        <f>E36</f>
        <v>200546</v>
      </c>
      <c r="F50" s="50"/>
      <c r="G50" s="50"/>
      <c r="H50" s="50"/>
      <c r="I50" s="83">
        <f>I36</f>
        <v>150737</v>
      </c>
    </row>
  </sheetData>
  <sheetProtection/>
  <mergeCells count="14">
    <mergeCell ref="A5:H5"/>
    <mergeCell ref="A6:H6"/>
    <mergeCell ref="D8:D9"/>
    <mergeCell ref="E7:F7"/>
    <mergeCell ref="I8:I9"/>
    <mergeCell ref="A1:B1"/>
    <mergeCell ref="A2:B2"/>
    <mergeCell ref="G7:H7"/>
    <mergeCell ref="C8:C9"/>
    <mergeCell ref="A8:A9"/>
    <mergeCell ref="B8:B9"/>
    <mergeCell ref="G1:H1"/>
    <mergeCell ref="F8:H8"/>
    <mergeCell ref="E8:E9"/>
  </mergeCells>
  <printOptions/>
  <pageMargins left="0.5905511811023623" right="0.3937007874015748" top="0.5905511811023623" bottom="0.5905511811023623" header="0.5118110236220472" footer="0.35433070866141736"/>
  <pageSetup horizontalDpi="600" verticalDpi="600" orientation="portrait" paperSize="9" scale="85" r:id="rId1"/>
  <headerFooter alignWithMargins="0"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V39"/>
  <sheetViews>
    <sheetView zoomScale="150" zoomScaleNormal="150" zoomScalePageLayoutView="0" workbookViewId="0" topLeftCell="M1">
      <selection activeCell="P8" sqref="P8:P9"/>
    </sheetView>
  </sheetViews>
  <sheetFormatPr defaultColWidth="9.140625" defaultRowHeight="15"/>
  <cols>
    <col min="1" max="1" width="5.00390625" style="89" hidden="1" customWidth="1"/>
    <col min="2" max="2" width="28.421875" style="89" hidden="1" customWidth="1"/>
    <col min="3" max="3" width="3.7109375" style="89" hidden="1" customWidth="1"/>
    <col min="4" max="4" width="7.28125" style="89" hidden="1" customWidth="1"/>
    <col min="5" max="5" width="8.421875" style="89" hidden="1" customWidth="1"/>
    <col min="6" max="6" width="7.7109375" style="89" hidden="1" customWidth="1"/>
    <col min="7" max="7" width="7.8515625" style="89" hidden="1" customWidth="1"/>
    <col min="8" max="8" width="7.00390625" style="89" hidden="1" customWidth="1"/>
    <col min="9" max="9" width="7.140625" style="89" hidden="1" customWidth="1"/>
    <col min="10" max="10" width="0.13671875" style="89" hidden="1" customWidth="1"/>
    <col min="11" max="11" width="4.57421875" style="89" hidden="1" customWidth="1"/>
    <col min="12" max="12" width="2.140625" style="89" hidden="1" customWidth="1"/>
    <col min="13" max="13" width="4.00390625" style="92" customWidth="1"/>
    <col min="14" max="14" width="30.140625" style="89" customWidth="1"/>
    <col min="15" max="15" width="10.28125" style="89" customWidth="1"/>
    <col min="16" max="16" width="10.7109375" style="89" customWidth="1"/>
    <col min="17" max="17" width="10.28125" style="90" customWidth="1"/>
    <col min="18" max="18" width="8.28125" style="90" customWidth="1"/>
    <col min="19" max="19" width="8.421875" style="90" customWidth="1"/>
    <col min="20" max="20" width="8.8515625" style="90" customWidth="1"/>
    <col min="21" max="21" width="10.28125" style="91" hidden="1" customWidth="1"/>
    <col min="22" max="16384" width="9.140625" style="89" customWidth="1"/>
  </cols>
  <sheetData>
    <row r="1" spans="1:20" ht="16.5">
      <c r="A1" s="88" t="s">
        <v>37</v>
      </c>
      <c r="M1" s="225" t="s">
        <v>135</v>
      </c>
      <c r="N1" s="225"/>
      <c r="R1" s="250" t="s">
        <v>12</v>
      </c>
      <c r="S1" s="250"/>
      <c r="T1" s="250"/>
    </row>
    <row r="2" spans="1:14" ht="16.5">
      <c r="A2" s="88"/>
      <c r="M2" s="235" t="s">
        <v>134</v>
      </c>
      <c r="N2" s="235"/>
    </row>
    <row r="3" ht="15" customHeight="1">
      <c r="A3" s="88" t="s">
        <v>38</v>
      </c>
    </row>
    <row r="4" spans="1:21" ht="40.5" customHeight="1">
      <c r="A4" s="242" t="s">
        <v>143</v>
      </c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  <c r="R4" s="243"/>
      <c r="S4" s="243"/>
      <c r="T4" s="243"/>
      <c r="U4" s="243"/>
    </row>
    <row r="5" spans="1:21" ht="21" customHeight="1">
      <c r="A5" s="93"/>
      <c r="B5" s="244" t="s">
        <v>152</v>
      </c>
      <c r="C5" s="244"/>
      <c r="D5" s="244"/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44"/>
      <c r="P5" s="244"/>
      <c r="Q5" s="244"/>
      <c r="R5" s="244"/>
      <c r="S5" s="244"/>
      <c r="T5" s="244"/>
      <c r="U5" s="244"/>
    </row>
    <row r="6" spans="1:21" ht="12" customHeight="1">
      <c r="A6" s="93"/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</row>
    <row r="7" spans="1:21" ht="18" customHeight="1">
      <c r="A7" s="95" t="s">
        <v>39</v>
      </c>
      <c r="B7" s="96"/>
      <c r="C7" s="96"/>
      <c r="D7" s="96"/>
      <c r="E7" s="96"/>
      <c r="F7" s="96"/>
      <c r="G7" s="97"/>
      <c r="H7" s="96"/>
      <c r="I7" s="98"/>
      <c r="J7" s="96"/>
      <c r="K7" s="96"/>
      <c r="L7" s="99"/>
      <c r="M7" s="100"/>
      <c r="N7" s="96"/>
      <c r="O7" s="98"/>
      <c r="P7" s="101"/>
      <c r="Q7" s="102"/>
      <c r="R7" s="234" t="s">
        <v>124</v>
      </c>
      <c r="S7" s="234"/>
      <c r="T7" s="234"/>
      <c r="U7" s="234"/>
    </row>
    <row r="8" spans="1:21" ht="20.25" customHeight="1">
      <c r="A8" s="103" t="s">
        <v>40</v>
      </c>
      <c r="B8" s="245" t="s">
        <v>41</v>
      </c>
      <c r="C8" s="104" t="s">
        <v>42</v>
      </c>
      <c r="D8" s="104" t="s">
        <v>43</v>
      </c>
      <c r="E8" s="104" t="s">
        <v>43</v>
      </c>
      <c r="F8" s="104" t="s">
        <v>44</v>
      </c>
      <c r="G8" s="247" t="s">
        <v>45</v>
      </c>
      <c r="H8" s="248"/>
      <c r="I8" s="247" t="s">
        <v>46</v>
      </c>
      <c r="J8" s="249"/>
      <c r="K8" s="248"/>
      <c r="L8" s="105" t="s">
        <v>47</v>
      </c>
      <c r="M8" s="232" t="s">
        <v>145</v>
      </c>
      <c r="N8" s="230" t="s">
        <v>97</v>
      </c>
      <c r="O8" s="228" t="s">
        <v>146</v>
      </c>
      <c r="P8" s="228" t="s">
        <v>147</v>
      </c>
      <c r="Q8" s="226" t="s">
        <v>148</v>
      </c>
      <c r="R8" s="237" t="s">
        <v>98</v>
      </c>
      <c r="S8" s="237"/>
      <c r="T8" s="237"/>
      <c r="U8" s="178"/>
    </row>
    <row r="9" spans="1:21" ht="66.75" customHeight="1">
      <c r="A9" s="106" t="s">
        <v>48</v>
      </c>
      <c r="B9" s="246"/>
      <c r="C9" s="106" t="s">
        <v>49</v>
      </c>
      <c r="D9" s="106" t="s">
        <v>50</v>
      </c>
      <c r="E9" s="106" t="s">
        <v>51</v>
      </c>
      <c r="F9" s="106">
        <v>2018</v>
      </c>
      <c r="G9" s="107" t="s">
        <v>52</v>
      </c>
      <c r="H9" s="107" t="s">
        <v>53</v>
      </c>
      <c r="I9" s="107" t="s">
        <v>54</v>
      </c>
      <c r="J9" s="107" t="s">
        <v>55</v>
      </c>
      <c r="K9" s="108" t="s">
        <v>56</v>
      </c>
      <c r="L9" s="105" t="s">
        <v>57</v>
      </c>
      <c r="M9" s="233"/>
      <c r="N9" s="231"/>
      <c r="O9" s="229"/>
      <c r="P9" s="229" t="s">
        <v>51</v>
      </c>
      <c r="Q9" s="227"/>
      <c r="R9" s="87" t="s">
        <v>58</v>
      </c>
      <c r="S9" s="87" t="s">
        <v>59</v>
      </c>
      <c r="T9" s="86" t="s">
        <v>60</v>
      </c>
      <c r="U9" s="179" t="s">
        <v>144</v>
      </c>
    </row>
    <row r="10" spans="1:21" s="139" customFormat="1" ht="15.75" customHeight="1">
      <c r="A10" s="205"/>
      <c r="B10" s="206"/>
      <c r="C10" s="205"/>
      <c r="D10" s="205"/>
      <c r="E10" s="205"/>
      <c r="F10" s="205"/>
      <c r="G10" s="207"/>
      <c r="H10" s="207"/>
      <c r="I10" s="205"/>
      <c r="J10" s="205"/>
      <c r="K10" s="208"/>
      <c r="L10" s="209"/>
      <c r="M10" s="210" t="s">
        <v>1</v>
      </c>
      <c r="N10" s="211" t="s">
        <v>11</v>
      </c>
      <c r="O10" s="212">
        <v>1</v>
      </c>
      <c r="P10" s="212">
        <v>2</v>
      </c>
      <c r="Q10" s="213">
        <v>3</v>
      </c>
      <c r="R10" s="214">
        <v>4</v>
      </c>
      <c r="S10" s="214">
        <v>5</v>
      </c>
      <c r="T10" s="215">
        <v>6</v>
      </c>
      <c r="U10" s="216"/>
    </row>
    <row r="11" spans="1:22" ht="19.5" customHeight="1">
      <c r="A11" s="109"/>
      <c r="B11" s="110" t="s">
        <v>61</v>
      </c>
      <c r="C11" s="111" t="e">
        <f>C12+#REF!+C28+C29+#REF!+C30+C34</f>
        <v>#REF!</v>
      </c>
      <c r="D11" s="111" t="e">
        <f>D12+#REF!+D28+D29+D30+#REF!</f>
        <v>#REF!</v>
      </c>
      <c r="E11" s="111" t="e">
        <f>E12+#REF!+E28+E29+E30+#REF!</f>
        <v>#REF!</v>
      </c>
      <c r="F11" s="111" t="e">
        <f>F12+#REF!+F28+F29+F30+#REF!</f>
        <v>#REF!</v>
      </c>
      <c r="G11" s="111" t="e">
        <f>G12+#REF!+G28+G29+G30+#REF!</f>
        <v>#REF!</v>
      </c>
      <c r="H11" s="111" t="e">
        <f>H12+#REF!+H28+H29+H30+#REF!</f>
        <v>#REF!</v>
      </c>
      <c r="I11" s="112" t="e">
        <f>F11/D11*100</f>
        <v>#REF!</v>
      </c>
      <c r="J11" s="112" t="e">
        <f>F11/D11*100</f>
        <v>#REF!</v>
      </c>
      <c r="K11" s="112" t="e">
        <f>F11/L11*100</f>
        <v>#REF!</v>
      </c>
      <c r="L11" s="111" t="e">
        <f>L12+#REF!+L28+L29+L30+#REF!</f>
        <v>#REF!</v>
      </c>
      <c r="M11" s="57"/>
      <c r="N11" s="76" t="s">
        <v>151</v>
      </c>
      <c r="O11" s="180">
        <f>O12+O33+O37</f>
        <v>822728</v>
      </c>
      <c r="P11" s="180">
        <f>P12+P33+P37+P38</f>
        <v>844353</v>
      </c>
      <c r="Q11" s="181">
        <f>Q12+Q33+Q37</f>
        <v>447820</v>
      </c>
      <c r="R11" s="182">
        <f>(Q11/O11)*100</f>
        <v>54.43111210509427</v>
      </c>
      <c r="S11" s="182">
        <f>(Q11/P11)*100</f>
        <v>53.03705914469422</v>
      </c>
      <c r="T11" s="183">
        <f aca="true" t="shared" si="0" ref="T11:T21">(Q11/U11)*100</f>
        <v>103.45871192956434</v>
      </c>
      <c r="U11" s="114">
        <f>U12+U33+U37+U38</f>
        <v>432849</v>
      </c>
      <c r="V11" s="198"/>
    </row>
    <row r="12" spans="1:21" s="119" customFormat="1" ht="25.5" customHeight="1">
      <c r="A12" s="115"/>
      <c r="B12" s="116" t="s">
        <v>62</v>
      </c>
      <c r="C12" s="117">
        <f>SUM(C18:C22)+C13+C23</f>
        <v>0</v>
      </c>
      <c r="D12" s="117" t="e">
        <f>SUM(D18:D23)+D13-#REF!-D20</f>
        <v>#REF!</v>
      </c>
      <c r="E12" s="117" t="e">
        <f>SUM(E18:E23)+E13-#REF!-E20</f>
        <v>#REF!</v>
      </c>
      <c r="F12" s="117" t="e">
        <f>SUM(F18:F23)+F13-#REF!-F20</f>
        <v>#REF!</v>
      </c>
      <c r="G12" s="117" t="e">
        <f>SUM(G18:G23)+G13-#REF!-G20</f>
        <v>#REF!</v>
      </c>
      <c r="H12" s="117" t="e">
        <f>SUM(H18:H23)+H13-#REF!-H20</f>
        <v>#REF!</v>
      </c>
      <c r="I12" s="112" t="e">
        <f>F12/D12*100</f>
        <v>#REF!</v>
      </c>
      <c r="J12" s="112" t="e">
        <f>F12/D12*100</f>
        <v>#REF!</v>
      </c>
      <c r="K12" s="112" t="e">
        <f>F12/L12*100</f>
        <v>#REF!</v>
      </c>
      <c r="L12" s="118" t="e">
        <f>SUM(L18:L23)+L13-#REF!-L20</f>
        <v>#REF!</v>
      </c>
      <c r="M12" s="56" t="s">
        <v>1</v>
      </c>
      <c r="N12" s="49" t="s">
        <v>133</v>
      </c>
      <c r="O12" s="184">
        <f>O13+O17+O31</f>
        <v>675946</v>
      </c>
      <c r="P12" s="184">
        <f>P13+P17+P31</f>
        <v>677102</v>
      </c>
      <c r="Q12" s="184">
        <f>Q13+Q17+Q31+Q32</f>
        <v>390495</v>
      </c>
      <c r="R12" s="182">
        <f aca="true" t="shared" si="1" ref="R12:R17">(Q12/O12)*100</f>
        <v>57.77014731946043</v>
      </c>
      <c r="S12" s="182">
        <f aca="true" t="shared" si="2" ref="S12:S18">(Q12/P12)*100</f>
        <v>57.6715177329265</v>
      </c>
      <c r="T12" s="183">
        <f t="shared" si="0"/>
        <v>97.67649530746603</v>
      </c>
      <c r="U12" s="45">
        <f>U13+U17+U31+U32</f>
        <v>399784</v>
      </c>
    </row>
    <row r="13" spans="1:21" s="95" customFormat="1" ht="15" customHeight="1">
      <c r="A13" s="120">
        <v>1</v>
      </c>
      <c r="B13" s="121" t="s">
        <v>63</v>
      </c>
      <c r="C13" s="122">
        <f>SUM(C14:C17)</f>
        <v>0</v>
      </c>
      <c r="D13" s="122">
        <f>SUM(D14:D17)</f>
        <v>90000</v>
      </c>
      <c r="E13" s="122">
        <f>SUM(E14:E17)</f>
        <v>90000</v>
      </c>
      <c r="F13" s="123">
        <f aca="true" t="shared" si="3" ref="F13:F23">G13+H13</f>
        <v>117428</v>
      </c>
      <c r="G13" s="122">
        <f>SUM(G14:G17)</f>
        <v>113659</v>
      </c>
      <c r="H13" s="124">
        <f>SUM(H14:H17)</f>
        <v>3769</v>
      </c>
      <c r="I13" s="112">
        <f aca="true" t="shared" si="4" ref="I13:I18">F13/D13*100</f>
        <v>130.47555555555556</v>
      </c>
      <c r="J13" s="112">
        <f aca="true" t="shared" si="5" ref="J13:J18">F13/D13*100</f>
        <v>130.47555555555556</v>
      </c>
      <c r="K13" s="112">
        <f aca="true" t="shared" si="6" ref="K13:K23">F13/L13*100</f>
        <v>138.15058823529412</v>
      </c>
      <c r="L13" s="125">
        <f>SUM(L14:L17)</f>
        <v>85000</v>
      </c>
      <c r="M13" s="56" t="s">
        <v>2</v>
      </c>
      <c r="N13" s="49" t="s">
        <v>132</v>
      </c>
      <c r="O13" s="184">
        <f>O14+O15+O16</f>
        <v>84719</v>
      </c>
      <c r="P13" s="184">
        <f>P14+P15+P16</f>
        <v>84719</v>
      </c>
      <c r="Q13" s="185">
        <f>Q14</f>
        <v>26636</v>
      </c>
      <c r="R13" s="182">
        <f t="shared" si="1"/>
        <v>31.44040888112466</v>
      </c>
      <c r="S13" s="182">
        <f t="shared" si="2"/>
        <v>31.44040888112466</v>
      </c>
      <c r="T13" s="183">
        <f t="shared" si="0"/>
        <v>89.72277427830363</v>
      </c>
      <c r="U13" s="45">
        <f>U14</f>
        <v>29687</v>
      </c>
    </row>
    <row r="14" spans="1:21" ht="16.5" customHeight="1">
      <c r="A14" s="126"/>
      <c r="B14" s="127" t="s">
        <v>64</v>
      </c>
      <c r="C14" s="128"/>
      <c r="D14" s="127">
        <v>800</v>
      </c>
      <c r="E14" s="127">
        <v>800</v>
      </c>
      <c r="F14" s="128">
        <f t="shared" si="3"/>
        <v>1107</v>
      </c>
      <c r="G14" s="129">
        <v>1057</v>
      </c>
      <c r="H14" s="127">
        <v>50</v>
      </c>
      <c r="I14" s="130">
        <f t="shared" si="4"/>
        <v>138.375</v>
      </c>
      <c r="J14" s="130">
        <f t="shared" si="5"/>
        <v>138.375</v>
      </c>
      <c r="K14" s="130">
        <f t="shared" si="6"/>
        <v>139.77272727272728</v>
      </c>
      <c r="L14" s="131">
        <v>792</v>
      </c>
      <c r="M14" s="53"/>
      <c r="N14" s="2" t="s">
        <v>65</v>
      </c>
      <c r="O14" s="186">
        <v>84719</v>
      </c>
      <c r="P14" s="186">
        <f>O14</f>
        <v>84719</v>
      </c>
      <c r="Q14" s="187">
        <v>26636</v>
      </c>
      <c r="R14" s="188">
        <f t="shared" si="1"/>
        <v>31.44040888112466</v>
      </c>
      <c r="S14" s="188">
        <f t="shared" si="2"/>
        <v>31.44040888112466</v>
      </c>
      <c r="T14" s="189">
        <f t="shared" si="0"/>
        <v>89.72277427830363</v>
      </c>
      <c r="U14" s="132">
        <v>29687</v>
      </c>
    </row>
    <row r="15" spans="1:21" ht="18.75" customHeight="1" hidden="1">
      <c r="A15" s="126"/>
      <c r="B15" s="127" t="s">
        <v>66</v>
      </c>
      <c r="C15" s="128"/>
      <c r="D15" s="127">
        <v>72000</v>
      </c>
      <c r="E15" s="127">
        <v>72000</v>
      </c>
      <c r="F15" s="128">
        <f t="shared" si="3"/>
        <v>86943</v>
      </c>
      <c r="G15" s="127">
        <f>93004-G25</f>
        <v>83877</v>
      </c>
      <c r="H15" s="127">
        <f>3566-H25</f>
        <v>3066</v>
      </c>
      <c r="I15" s="130">
        <f t="shared" si="4"/>
        <v>120.75416666666668</v>
      </c>
      <c r="J15" s="130">
        <f t="shared" si="5"/>
        <v>120.75416666666668</v>
      </c>
      <c r="K15" s="130">
        <f t="shared" si="6"/>
        <v>131.1041076060076</v>
      </c>
      <c r="L15" s="131">
        <v>66316</v>
      </c>
      <c r="M15" s="53"/>
      <c r="N15" s="2" t="s">
        <v>67</v>
      </c>
      <c r="O15" s="186"/>
      <c r="P15" s="186"/>
      <c r="Q15" s="187">
        <v>0</v>
      </c>
      <c r="R15" s="188" t="e">
        <f t="shared" si="1"/>
        <v>#DIV/0!</v>
      </c>
      <c r="S15" s="188" t="e">
        <f t="shared" si="2"/>
        <v>#DIV/0!</v>
      </c>
      <c r="T15" s="189">
        <f t="shared" si="0"/>
        <v>0</v>
      </c>
      <c r="U15" s="132">
        <v>2540</v>
      </c>
    </row>
    <row r="16" spans="1:21" ht="16.5" hidden="1">
      <c r="A16" s="126"/>
      <c r="B16" s="127" t="s">
        <v>68</v>
      </c>
      <c r="C16" s="128"/>
      <c r="D16" s="127">
        <v>16000</v>
      </c>
      <c r="E16" s="127">
        <v>16000</v>
      </c>
      <c r="F16" s="128">
        <f t="shared" si="3"/>
        <v>24925</v>
      </c>
      <c r="G16" s="127">
        <f>28085-G26</f>
        <v>24402</v>
      </c>
      <c r="H16" s="127">
        <f>773-H26</f>
        <v>523</v>
      </c>
      <c r="I16" s="130">
        <f t="shared" si="4"/>
        <v>155.78125</v>
      </c>
      <c r="J16" s="130">
        <f t="shared" si="5"/>
        <v>155.78125</v>
      </c>
      <c r="K16" s="130">
        <f t="shared" si="6"/>
        <v>162.9937222076903</v>
      </c>
      <c r="L16" s="131">
        <v>15292</v>
      </c>
      <c r="M16" s="53"/>
      <c r="N16" s="2" t="s">
        <v>69</v>
      </c>
      <c r="O16" s="186"/>
      <c r="P16" s="186"/>
      <c r="Q16" s="187">
        <v>0</v>
      </c>
      <c r="R16" s="188" t="e">
        <f t="shared" si="1"/>
        <v>#DIV/0!</v>
      </c>
      <c r="S16" s="188" t="e">
        <f t="shared" si="2"/>
        <v>#DIV/0!</v>
      </c>
      <c r="T16" s="189" t="e">
        <f t="shared" si="0"/>
        <v>#DIV/0!</v>
      </c>
      <c r="U16" s="132"/>
    </row>
    <row r="17" spans="1:21" s="95" customFormat="1" ht="15.75" customHeight="1">
      <c r="A17" s="120"/>
      <c r="B17" s="121" t="s">
        <v>70</v>
      </c>
      <c r="C17" s="123"/>
      <c r="D17" s="121">
        <v>1200</v>
      </c>
      <c r="E17" s="121">
        <v>1200</v>
      </c>
      <c r="F17" s="123">
        <f t="shared" si="3"/>
        <v>4453</v>
      </c>
      <c r="G17" s="121">
        <f>4426-G27</f>
        <v>4323</v>
      </c>
      <c r="H17" s="121">
        <f>150-H27</f>
        <v>130</v>
      </c>
      <c r="I17" s="112">
        <f t="shared" si="4"/>
        <v>371.08333333333337</v>
      </c>
      <c r="J17" s="112">
        <f t="shared" si="5"/>
        <v>371.08333333333337</v>
      </c>
      <c r="K17" s="112">
        <f t="shared" si="6"/>
        <v>171.26923076923077</v>
      </c>
      <c r="L17" s="133">
        <v>2600</v>
      </c>
      <c r="M17" s="56" t="s">
        <v>10</v>
      </c>
      <c r="N17" s="49" t="s">
        <v>14</v>
      </c>
      <c r="O17" s="180">
        <v>574727</v>
      </c>
      <c r="P17" s="180">
        <f>P18+P19+P20+P21+P22+P23+P24+P25+P28+P29+P30</f>
        <v>575883</v>
      </c>
      <c r="Q17" s="181">
        <f>Q18+Q19+Q20+Q22+Q23+Q24+Q25+Q28+Q30+Q21</f>
        <v>308386</v>
      </c>
      <c r="R17" s="182">
        <f t="shared" si="1"/>
        <v>53.65782362756578</v>
      </c>
      <c r="S17" s="182">
        <f t="shared" si="2"/>
        <v>53.55011347791131</v>
      </c>
      <c r="T17" s="183">
        <f t="shared" si="0"/>
        <v>115.17082206719348</v>
      </c>
      <c r="U17" s="114">
        <f>U18+U19+U20+U21+U22+U23+U24+U25+U28+U29+U30</f>
        <v>267764</v>
      </c>
    </row>
    <row r="18" spans="1:21" ht="14.25" customHeight="1">
      <c r="A18" s="126">
        <v>2</v>
      </c>
      <c r="B18" s="134" t="s">
        <v>71</v>
      </c>
      <c r="C18" s="135"/>
      <c r="D18" s="134">
        <v>20300</v>
      </c>
      <c r="E18" s="134">
        <v>20300</v>
      </c>
      <c r="F18" s="135">
        <f t="shared" si="3"/>
        <v>19134</v>
      </c>
      <c r="G18" s="134">
        <v>17834</v>
      </c>
      <c r="H18" s="134">
        <v>1300</v>
      </c>
      <c r="I18" s="130">
        <f t="shared" si="4"/>
        <v>94.25615763546799</v>
      </c>
      <c r="J18" s="130">
        <f t="shared" si="5"/>
        <v>94.25615763546799</v>
      </c>
      <c r="K18" s="130">
        <f t="shared" si="6"/>
        <v>105.13186813186812</v>
      </c>
      <c r="L18" s="136">
        <v>18200</v>
      </c>
      <c r="M18" s="52">
        <v>1</v>
      </c>
      <c r="N18" s="2" t="s">
        <v>72</v>
      </c>
      <c r="O18" s="186"/>
      <c r="P18" s="186">
        <f>46528+33568-1</f>
        <v>80095</v>
      </c>
      <c r="Q18" s="187">
        <v>39724</v>
      </c>
      <c r="R18" s="188"/>
      <c r="S18" s="188">
        <f t="shared" si="2"/>
        <v>49.596104625756915</v>
      </c>
      <c r="T18" s="189">
        <f t="shared" si="0"/>
        <v>126.56195240067545</v>
      </c>
      <c r="U18" s="132">
        <v>31387</v>
      </c>
    </row>
    <row r="19" spans="1:21" ht="14.25" customHeight="1">
      <c r="A19" s="126">
        <v>5</v>
      </c>
      <c r="B19" s="134" t="s">
        <v>73</v>
      </c>
      <c r="C19" s="135"/>
      <c r="D19" s="134">
        <v>13600</v>
      </c>
      <c r="E19" s="134">
        <v>13600</v>
      </c>
      <c r="F19" s="135">
        <f t="shared" si="3"/>
        <v>15194</v>
      </c>
      <c r="G19" s="134">
        <v>14794</v>
      </c>
      <c r="H19" s="134">
        <v>400</v>
      </c>
      <c r="I19" s="130">
        <f aca="true" t="shared" si="7" ref="I19:I24">F19/D19*100</f>
        <v>111.72058823529412</v>
      </c>
      <c r="J19" s="130">
        <f aca="true" t="shared" si="8" ref="J19:J24">F19/D19*100</f>
        <v>111.72058823529412</v>
      </c>
      <c r="K19" s="130">
        <f t="shared" si="6"/>
        <v>125.16681769503255</v>
      </c>
      <c r="L19" s="136">
        <v>12139</v>
      </c>
      <c r="M19" s="52">
        <v>2</v>
      </c>
      <c r="N19" s="2" t="s">
        <v>74</v>
      </c>
      <c r="O19" s="186"/>
      <c r="P19" s="186">
        <v>3657</v>
      </c>
      <c r="Q19" s="187">
        <v>2960</v>
      </c>
      <c r="R19" s="188"/>
      <c r="S19" s="188">
        <f>(Q19/P19)*100</f>
        <v>80.9406617445994</v>
      </c>
      <c r="T19" s="189">
        <f t="shared" si="0"/>
        <v>95.05459216441875</v>
      </c>
      <c r="U19" s="132">
        <v>3114</v>
      </c>
    </row>
    <row r="20" spans="1:21" ht="14.25" customHeight="1">
      <c r="A20" s="126"/>
      <c r="B20" s="127" t="s">
        <v>75</v>
      </c>
      <c r="C20" s="128"/>
      <c r="D20" s="127">
        <v>2200</v>
      </c>
      <c r="E20" s="127">
        <v>2200</v>
      </c>
      <c r="F20" s="128">
        <f t="shared" si="3"/>
        <v>2986</v>
      </c>
      <c r="G20" s="127">
        <v>2886</v>
      </c>
      <c r="H20" s="127">
        <v>100</v>
      </c>
      <c r="I20" s="138">
        <f t="shared" si="7"/>
        <v>135.72727272727272</v>
      </c>
      <c r="J20" s="138">
        <f t="shared" si="8"/>
        <v>135.72727272727272</v>
      </c>
      <c r="K20" s="130">
        <f t="shared" si="6"/>
        <v>119.82343499197432</v>
      </c>
      <c r="L20" s="131">
        <v>2492</v>
      </c>
      <c r="M20" s="52">
        <v>3</v>
      </c>
      <c r="N20" s="2" t="s">
        <v>76</v>
      </c>
      <c r="O20" s="186"/>
      <c r="P20" s="186">
        <v>1140</v>
      </c>
      <c r="Q20" s="187">
        <v>540</v>
      </c>
      <c r="R20" s="188"/>
      <c r="S20" s="188">
        <f>(Q20/P20)*100</f>
        <v>47.368421052631575</v>
      </c>
      <c r="T20" s="189">
        <f t="shared" si="0"/>
        <v>89.70099667774086</v>
      </c>
      <c r="U20" s="132">
        <v>602</v>
      </c>
    </row>
    <row r="21" spans="1:21" ht="15" customHeight="1">
      <c r="A21" s="126">
        <v>6</v>
      </c>
      <c r="B21" s="134" t="s">
        <v>77</v>
      </c>
      <c r="C21" s="135"/>
      <c r="D21" s="134">
        <v>40000</v>
      </c>
      <c r="E21" s="134">
        <v>40000</v>
      </c>
      <c r="F21" s="135">
        <f t="shared" si="3"/>
        <v>167614</v>
      </c>
      <c r="G21" s="134">
        <v>163614</v>
      </c>
      <c r="H21" s="134">
        <v>4000</v>
      </c>
      <c r="I21" s="130">
        <f t="shared" si="7"/>
        <v>419.03499999999997</v>
      </c>
      <c r="J21" s="130">
        <f t="shared" si="8"/>
        <v>419.03499999999997</v>
      </c>
      <c r="K21" s="130">
        <f t="shared" si="6"/>
        <v>223.4853333333333</v>
      </c>
      <c r="L21" s="136">
        <v>75000</v>
      </c>
      <c r="M21" s="52">
        <v>4</v>
      </c>
      <c r="N21" s="2" t="s">
        <v>149</v>
      </c>
      <c r="O21" s="186"/>
      <c r="P21" s="186">
        <v>5000</v>
      </c>
      <c r="Q21" s="187">
        <v>7198</v>
      </c>
      <c r="R21" s="188"/>
      <c r="S21" s="188">
        <f>(Q21/P21)*100</f>
        <v>143.96</v>
      </c>
      <c r="T21" s="189">
        <f t="shared" si="0"/>
        <v>153.6392742796158</v>
      </c>
      <c r="U21" s="132">
        <v>4685</v>
      </c>
    </row>
    <row r="22" spans="1:21" ht="15" customHeight="1">
      <c r="A22" s="126">
        <v>7</v>
      </c>
      <c r="B22" s="134" t="s">
        <v>78</v>
      </c>
      <c r="C22" s="135"/>
      <c r="D22" s="134">
        <v>800</v>
      </c>
      <c r="E22" s="134">
        <v>800</v>
      </c>
      <c r="F22" s="135">
        <f t="shared" si="3"/>
        <v>808</v>
      </c>
      <c r="G22" s="134">
        <v>739</v>
      </c>
      <c r="H22" s="134">
        <v>69</v>
      </c>
      <c r="I22" s="130">
        <f t="shared" si="7"/>
        <v>101</v>
      </c>
      <c r="J22" s="130">
        <f t="shared" si="8"/>
        <v>101</v>
      </c>
      <c r="K22" s="130">
        <f t="shared" si="6"/>
        <v>101</v>
      </c>
      <c r="L22" s="136">
        <v>800</v>
      </c>
      <c r="M22" s="52">
        <v>5</v>
      </c>
      <c r="N22" s="2" t="s">
        <v>79</v>
      </c>
      <c r="O22" s="186">
        <v>255072</v>
      </c>
      <c r="P22" s="186">
        <v>248795</v>
      </c>
      <c r="Q22" s="187">
        <v>115837</v>
      </c>
      <c r="R22" s="188">
        <f>(Q22/O22)*100</f>
        <v>45.41345188809434</v>
      </c>
      <c r="S22" s="188">
        <f>(Q22/P22)*100</f>
        <v>46.559215418316285</v>
      </c>
      <c r="T22" s="189">
        <f>(Q22/U22)*100</f>
        <v>100.00777014193459</v>
      </c>
      <c r="U22" s="132">
        <v>115828</v>
      </c>
    </row>
    <row r="23" spans="1:21" ht="15.75" customHeight="1">
      <c r="A23" s="126">
        <v>8</v>
      </c>
      <c r="B23" s="134" t="s">
        <v>80</v>
      </c>
      <c r="C23" s="135"/>
      <c r="D23" s="134">
        <v>14500</v>
      </c>
      <c r="E23" s="134">
        <v>14500</v>
      </c>
      <c r="F23" s="135">
        <f t="shared" si="3"/>
        <v>22430</v>
      </c>
      <c r="G23" s="134">
        <v>21930</v>
      </c>
      <c r="H23" s="146">
        <v>500</v>
      </c>
      <c r="I23" s="130">
        <f t="shared" si="7"/>
        <v>154.6896551724138</v>
      </c>
      <c r="J23" s="130">
        <f t="shared" si="8"/>
        <v>154.6896551724138</v>
      </c>
      <c r="K23" s="130">
        <f t="shared" si="6"/>
        <v>154.6896551724138</v>
      </c>
      <c r="L23" s="136">
        <v>14500</v>
      </c>
      <c r="M23" s="52">
        <v>7</v>
      </c>
      <c r="N23" s="2" t="s">
        <v>81</v>
      </c>
      <c r="O23" s="186"/>
      <c r="P23" s="190">
        <v>45775</v>
      </c>
      <c r="Q23" s="187">
        <v>27613</v>
      </c>
      <c r="R23" s="188"/>
      <c r="S23" s="188">
        <f>(Q23/P23)*100</f>
        <v>60.323320589841614</v>
      </c>
      <c r="T23" s="189">
        <f aca="true" t="shared" si="9" ref="T23:T28">(Q23/U23)*100</f>
        <v>97.6759816059427</v>
      </c>
      <c r="U23" s="132">
        <v>28270</v>
      </c>
    </row>
    <row r="24" spans="1:21" s="139" customFormat="1" ht="15" customHeight="1">
      <c r="A24" s="137">
        <v>1</v>
      </c>
      <c r="B24" s="127" t="s">
        <v>82</v>
      </c>
      <c r="C24" s="128"/>
      <c r="D24" s="127">
        <v>22560</v>
      </c>
      <c r="E24" s="127">
        <v>22560</v>
      </c>
      <c r="F24" s="127">
        <f>F25+F26+F27</f>
        <v>13683</v>
      </c>
      <c r="G24" s="127">
        <f>G25+G26+G27</f>
        <v>12913</v>
      </c>
      <c r="H24" s="127">
        <f>H25+H26+H27</f>
        <v>770</v>
      </c>
      <c r="I24" s="138">
        <f t="shared" si="7"/>
        <v>60.651595744680854</v>
      </c>
      <c r="J24" s="138">
        <f t="shared" si="8"/>
        <v>60.651595744680854</v>
      </c>
      <c r="K24" s="138">
        <f aca="true" t="shared" si="10" ref="K24:K29">F24/L24*100</f>
        <v>84.3068391866913</v>
      </c>
      <c r="L24" s="131">
        <v>16230</v>
      </c>
      <c r="M24" s="52">
        <v>8</v>
      </c>
      <c r="N24" s="2" t="s">
        <v>83</v>
      </c>
      <c r="O24" s="186"/>
      <c r="P24" s="186">
        <v>40542</v>
      </c>
      <c r="Q24" s="187">
        <v>39628</v>
      </c>
      <c r="R24" s="188"/>
      <c r="S24" s="188">
        <f aca="true" t="shared" si="11" ref="S24:S37">(Q24/P24)*100</f>
        <v>97.7455478269449</v>
      </c>
      <c r="T24" s="189">
        <f t="shared" si="9"/>
        <v>180.991093857045</v>
      </c>
      <c r="U24" s="132">
        <v>21895</v>
      </c>
    </row>
    <row r="25" spans="1:21" s="139" customFormat="1" ht="15" customHeight="1">
      <c r="A25" s="137"/>
      <c r="B25" s="127" t="s">
        <v>66</v>
      </c>
      <c r="C25" s="128"/>
      <c r="D25" s="127"/>
      <c r="E25" s="127"/>
      <c r="F25" s="128">
        <f>G25+H25</f>
        <v>9627</v>
      </c>
      <c r="G25" s="127">
        <v>9127</v>
      </c>
      <c r="H25" s="127">
        <v>500</v>
      </c>
      <c r="I25" s="138"/>
      <c r="J25" s="138"/>
      <c r="K25" s="138">
        <f t="shared" si="10"/>
        <v>92.80825219319388</v>
      </c>
      <c r="L25" s="131">
        <v>10373</v>
      </c>
      <c r="M25" s="52">
        <v>9</v>
      </c>
      <c r="N25" s="2" t="s">
        <v>84</v>
      </c>
      <c r="O25" s="186"/>
      <c r="P25" s="186">
        <f>P26+P27</f>
        <v>10588</v>
      </c>
      <c r="Q25" s="186">
        <f>Q26+Q27</f>
        <v>7946</v>
      </c>
      <c r="R25" s="188"/>
      <c r="S25" s="188">
        <f t="shared" si="11"/>
        <v>75.04722327162825</v>
      </c>
      <c r="T25" s="189">
        <f t="shared" si="9"/>
        <v>106.80107526881721</v>
      </c>
      <c r="U25" s="147">
        <f>U26+U27</f>
        <v>7440</v>
      </c>
    </row>
    <row r="26" spans="1:21" s="145" customFormat="1" ht="18.75" customHeight="1">
      <c r="A26" s="140"/>
      <c r="B26" s="141" t="s">
        <v>68</v>
      </c>
      <c r="C26" s="142"/>
      <c r="D26" s="141"/>
      <c r="E26" s="141"/>
      <c r="F26" s="142">
        <f>G26+H26</f>
        <v>3933</v>
      </c>
      <c r="G26" s="141">
        <f>2336+1347</f>
        <v>3683</v>
      </c>
      <c r="H26" s="141">
        <v>250</v>
      </c>
      <c r="I26" s="143"/>
      <c r="J26" s="143"/>
      <c r="K26" s="143">
        <f t="shared" si="10"/>
        <v>67.15041830288544</v>
      </c>
      <c r="L26" s="144">
        <v>5857</v>
      </c>
      <c r="M26" s="54"/>
      <c r="N26" s="73" t="s">
        <v>85</v>
      </c>
      <c r="O26" s="191"/>
      <c r="P26" s="192">
        <v>9055</v>
      </c>
      <c r="Q26" s="193">
        <v>6109</v>
      </c>
      <c r="R26" s="188"/>
      <c r="S26" s="188">
        <f t="shared" si="11"/>
        <v>67.46548868028714</v>
      </c>
      <c r="T26" s="189">
        <f t="shared" si="9"/>
        <v>101.63034436865746</v>
      </c>
      <c r="U26" s="194">
        <v>6011</v>
      </c>
    </row>
    <row r="27" spans="1:21" s="145" customFormat="1" ht="18.75" customHeight="1">
      <c r="A27" s="140"/>
      <c r="B27" s="141" t="s">
        <v>70</v>
      </c>
      <c r="C27" s="142"/>
      <c r="D27" s="141"/>
      <c r="E27" s="141"/>
      <c r="F27" s="142">
        <f>G27+H27</f>
        <v>123</v>
      </c>
      <c r="G27" s="141">
        <v>103</v>
      </c>
      <c r="H27" s="141">
        <v>20</v>
      </c>
      <c r="I27" s="143"/>
      <c r="J27" s="143"/>
      <c r="K27" s="143">
        <f t="shared" si="10"/>
        <v>39677.419354838705</v>
      </c>
      <c r="L27" s="148">
        <v>0.31</v>
      </c>
      <c r="M27" s="54"/>
      <c r="N27" s="73" t="s">
        <v>86</v>
      </c>
      <c r="O27" s="191"/>
      <c r="P27" s="192">
        <v>1533</v>
      </c>
      <c r="Q27" s="193">
        <v>1837</v>
      </c>
      <c r="R27" s="188"/>
      <c r="S27" s="188">
        <f t="shared" si="11"/>
        <v>119.83039791258969</v>
      </c>
      <c r="T27" s="189">
        <f t="shared" si="9"/>
        <v>128.55143456962912</v>
      </c>
      <c r="U27" s="194">
        <v>1429</v>
      </c>
    </row>
    <row r="28" spans="1:21" ht="16.5" customHeight="1">
      <c r="A28" s="126"/>
      <c r="B28" s="149" t="s">
        <v>87</v>
      </c>
      <c r="C28" s="123"/>
      <c r="D28" s="123">
        <v>542965</v>
      </c>
      <c r="E28" s="123">
        <v>542965</v>
      </c>
      <c r="F28" s="123">
        <f>G28+H28</f>
        <v>582425</v>
      </c>
      <c r="G28" s="121">
        <v>524387</v>
      </c>
      <c r="H28" s="121">
        <f>57355+683</f>
        <v>58038</v>
      </c>
      <c r="I28" s="112">
        <f>F28/D28*100</f>
        <v>107.26750343023951</v>
      </c>
      <c r="J28" s="112">
        <f>F28/E28*100</f>
        <v>107.26750343023951</v>
      </c>
      <c r="K28" s="112">
        <f t="shared" si="10"/>
        <v>99.92365364489508</v>
      </c>
      <c r="L28" s="150">
        <v>582870</v>
      </c>
      <c r="M28" s="52">
        <v>10</v>
      </c>
      <c r="N28" s="2" t="s">
        <v>88</v>
      </c>
      <c r="O28" s="186"/>
      <c r="P28" s="186">
        <v>10029</v>
      </c>
      <c r="Q28" s="187">
        <v>3145</v>
      </c>
      <c r="R28" s="188"/>
      <c r="S28" s="188">
        <f t="shared" si="11"/>
        <v>31.359058729683913</v>
      </c>
      <c r="T28" s="189">
        <f t="shared" si="9"/>
        <v>3145</v>
      </c>
      <c r="U28" s="132">
        <v>100</v>
      </c>
    </row>
    <row r="29" spans="1:21" ht="16.5" customHeight="1">
      <c r="A29" s="126"/>
      <c r="B29" s="149" t="s">
        <v>89</v>
      </c>
      <c r="C29" s="123"/>
      <c r="D29" s="123"/>
      <c r="E29" s="123">
        <f>160446+628</f>
        <v>161074</v>
      </c>
      <c r="F29" s="123">
        <f>G29+H29</f>
        <v>0</v>
      </c>
      <c r="G29" s="121"/>
      <c r="H29" s="121"/>
      <c r="I29" s="130"/>
      <c r="J29" s="112"/>
      <c r="K29" s="130">
        <f t="shared" si="10"/>
        <v>0</v>
      </c>
      <c r="L29" s="150">
        <f>47531</f>
        <v>47531</v>
      </c>
      <c r="M29" s="55">
        <v>11</v>
      </c>
      <c r="N29" s="2" t="s">
        <v>90</v>
      </c>
      <c r="O29" s="195"/>
      <c r="P29" s="187">
        <v>18576</v>
      </c>
      <c r="Q29" s="187">
        <v>0</v>
      </c>
      <c r="R29" s="188"/>
      <c r="S29" s="188">
        <f t="shared" si="11"/>
        <v>0</v>
      </c>
      <c r="T29" s="189"/>
      <c r="U29" s="132"/>
    </row>
    <row r="30" spans="1:21" ht="16.5">
      <c r="A30" s="126"/>
      <c r="B30" s="48" t="s">
        <v>91</v>
      </c>
      <c r="C30" s="123"/>
      <c r="D30" s="119"/>
      <c r="E30" s="123">
        <f>SUM(E31:E31)</f>
        <v>11086</v>
      </c>
      <c r="F30" s="123">
        <f>SUM(F31:F31)</f>
        <v>3729</v>
      </c>
      <c r="G30" s="123">
        <f>SUM(G31:G31)</f>
        <v>3429</v>
      </c>
      <c r="H30" s="123">
        <f>SUM(H31:H31)</f>
        <v>300</v>
      </c>
      <c r="I30" s="112">
        <f>F30/E30*100</f>
        <v>33.63701966444164</v>
      </c>
      <c r="J30" s="112">
        <f>F30/E30*100</f>
        <v>33.63701966444164</v>
      </c>
      <c r="K30" s="151" t="e">
        <f>F30/L30*100</f>
        <v>#REF!</v>
      </c>
      <c r="L30" s="118" t="e">
        <f>L31+#REF!</f>
        <v>#REF!</v>
      </c>
      <c r="M30" s="52">
        <v>12</v>
      </c>
      <c r="N30" s="2" t="s">
        <v>92</v>
      </c>
      <c r="O30" s="186"/>
      <c r="P30" s="186">
        <v>111686</v>
      </c>
      <c r="Q30" s="187">
        <v>63795</v>
      </c>
      <c r="R30" s="188"/>
      <c r="S30" s="188">
        <f>(Q30/P30)*100</f>
        <v>57.119961320129654</v>
      </c>
      <c r="T30" s="189">
        <f>(Q30/U30)*100</f>
        <v>117.17759858935032</v>
      </c>
      <c r="U30" s="132">
        <v>54443</v>
      </c>
    </row>
    <row r="31" spans="1:21" s="95" customFormat="1" ht="21.75" customHeight="1">
      <c r="A31" s="120"/>
      <c r="B31" s="152" t="s">
        <v>93</v>
      </c>
      <c r="C31" s="123"/>
      <c r="D31" s="153"/>
      <c r="E31" s="153">
        <v>11086</v>
      </c>
      <c r="F31" s="123">
        <f>G31+H31</f>
        <v>3729</v>
      </c>
      <c r="G31" s="154">
        <v>3429</v>
      </c>
      <c r="H31" s="154">
        <v>300</v>
      </c>
      <c r="I31" s="112"/>
      <c r="J31" s="112">
        <f>F31/E31*100</f>
        <v>33.63701966444164</v>
      </c>
      <c r="K31" s="112">
        <f>F31/L31*100</f>
        <v>80.055817947617</v>
      </c>
      <c r="L31" s="133">
        <v>4658</v>
      </c>
      <c r="M31" s="56" t="s">
        <v>15</v>
      </c>
      <c r="N31" s="49" t="s">
        <v>131</v>
      </c>
      <c r="O31" s="180">
        <v>16500</v>
      </c>
      <c r="P31" s="180">
        <v>16500</v>
      </c>
      <c r="Q31" s="187">
        <v>0</v>
      </c>
      <c r="R31" s="188">
        <f>(Q31/O31)*100</f>
        <v>0</v>
      </c>
      <c r="S31" s="188">
        <f t="shared" si="11"/>
        <v>0</v>
      </c>
      <c r="T31" s="189"/>
      <c r="U31" s="132"/>
    </row>
    <row r="32" spans="1:21" s="95" customFormat="1" ht="21.75" customHeight="1">
      <c r="A32" s="120"/>
      <c r="B32" s="152"/>
      <c r="C32" s="123"/>
      <c r="D32" s="153"/>
      <c r="E32" s="153"/>
      <c r="F32" s="123"/>
      <c r="G32" s="154"/>
      <c r="H32" s="154"/>
      <c r="I32" s="112"/>
      <c r="J32" s="112"/>
      <c r="K32" s="112"/>
      <c r="L32" s="155"/>
      <c r="M32" s="56" t="s">
        <v>23</v>
      </c>
      <c r="N32" s="49" t="s">
        <v>113</v>
      </c>
      <c r="O32" s="180"/>
      <c r="P32" s="180"/>
      <c r="Q32" s="181">
        <v>55473</v>
      </c>
      <c r="R32" s="188"/>
      <c r="S32" s="188"/>
      <c r="T32" s="189">
        <f>Q32/U32%</f>
        <v>54.20831989680748</v>
      </c>
      <c r="U32" s="132">
        <v>102333</v>
      </c>
    </row>
    <row r="33" spans="1:21" ht="30" customHeight="1">
      <c r="A33" s="156"/>
      <c r="B33" s="157"/>
      <c r="C33" s="157"/>
      <c r="D33" s="157"/>
      <c r="E33" s="157"/>
      <c r="F33" s="157"/>
      <c r="G33" s="157"/>
      <c r="H33" s="157"/>
      <c r="I33" s="157"/>
      <c r="J33" s="157"/>
      <c r="K33" s="157"/>
      <c r="L33" s="157"/>
      <c r="M33" s="56" t="s">
        <v>11</v>
      </c>
      <c r="N33" s="49" t="s">
        <v>150</v>
      </c>
      <c r="O33" s="180">
        <f>SUM(O34:O35)</f>
        <v>146782</v>
      </c>
      <c r="P33" s="180">
        <f>SUM(P34:P35)</f>
        <v>146782</v>
      </c>
      <c r="Q33" s="181">
        <f>Q34+Q35</f>
        <v>56825</v>
      </c>
      <c r="R33" s="182">
        <f>(Q33/O33)*100</f>
        <v>38.713874998296795</v>
      </c>
      <c r="S33" s="182">
        <f t="shared" si="11"/>
        <v>38.713874998296795</v>
      </c>
      <c r="T33" s="183">
        <f>(Q33/U33)*100</f>
        <v>171.85846060789353</v>
      </c>
      <c r="U33" s="114">
        <f>U34+U35+U36</f>
        <v>33065</v>
      </c>
    </row>
    <row r="34" spans="1:21" ht="21.75" customHeight="1">
      <c r="A34" s="156"/>
      <c r="B34" s="156"/>
      <c r="C34" s="158"/>
      <c r="D34" s="159"/>
      <c r="E34" s="159"/>
      <c r="F34" s="160"/>
      <c r="G34" s="161"/>
      <c r="H34" s="159"/>
      <c r="I34" s="162"/>
      <c r="J34" s="162"/>
      <c r="K34" s="162"/>
      <c r="L34" s="163"/>
      <c r="M34" s="57">
        <v>1</v>
      </c>
      <c r="N34" s="74" t="s">
        <v>94</v>
      </c>
      <c r="O34" s="187">
        <v>72000</v>
      </c>
      <c r="P34" s="187">
        <f>O34</f>
        <v>72000</v>
      </c>
      <c r="Q34" s="187">
        <v>27863</v>
      </c>
      <c r="R34" s="188">
        <f>(Q34/O34)*100</f>
        <v>38.698611111111106</v>
      </c>
      <c r="S34" s="188">
        <f t="shared" si="11"/>
        <v>38.698611111111106</v>
      </c>
      <c r="T34" s="189">
        <f>Q34/U34%</f>
        <v>225.61133603238866</v>
      </c>
      <c r="U34" s="132">
        <v>12350</v>
      </c>
    </row>
    <row r="35" spans="1:21" ht="21.75" customHeight="1">
      <c r="A35" s="164"/>
      <c r="B35" s="165"/>
      <c r="C35" s="166"/>
      <c r="D35" s="167"/>
      <c r="E35" s="167"/>
      <c r="F35" s="166"/>
      <c r="G35" s="167"/>
      <c r="H35" s="167"/>
      <c r="I35" s="168"/>
      <c r="J35" s="168"/>
      <c r="K35" s="168"/>
      <c r="L35" s="168"/>
      <c r="M35" s="57">
        <v>2</v>
      </c>
      <c r="N35" s="74" t="s">
        <v>95</v>
      </c>
      <c r="O35" s="187">
        <v>74782</v>
      </c>
      <c r="P35" s="187">
        <f>O35</f>
        <v>74782</v>
      </c>
      <c r="Q35" s="187">
        <v>28962</v>
      </c>
      <c r="R35" s="188">
        <f>(Q35/O35)*100</f>
        <v>38.72857104650852</v>
      </c>
      <c r="S35" s="188">
        <f t="shared" si="11"/>
        <v>38.72857104650852</v>
      </c>
      <c r="T35" s="189">
        <f>Q35/U35%</f>
        <v>143.66784066669973</v>
      </c>
      <c r="U35" s="132">
        <v>20159</v>
      </c>
    </row>
    <row r="36" spans="1:21" ht="21.75" customHeight="1" hidden="1">
      <c r="A36" s="164"/>
      <c r="B36" s="165"/>
      <c r="C36" s="166"/>
      <c r="D36" s="167"/>
      <c r="E36" s="167"/>
      <c r="F36" s="166"/>
      <c r="G36" s="167"/>
      <c r="H36" s="167"/>
      <c r="I36" s="168"/>
      <c r="J36" s="168"/>
      <c r="K36" s="168"/>
      <c r="L36" s="168"/>
      <c r="M36" s="57">
        <v>3</v>
      </c>
      <c r="N36" s="199" t="s">
        <v>139</v>
      </c>
      <c r="O36" s="187"/>
      <c r="P36" s="187"/>
      <c r="Q36" s="187"/>
      <c r="R36" s="188"/>
      <c r="S36" s="188"/>
      <c r="T36" s="189"/>
      <c r="U36" s="132">
        <v>556</v>
      </c>
    </row>
    <row r="37" spans="1:21" s="95" customFormat="1" ht="21.75" customHeight="1">
      <c r="A37" s="165"/>
      <c r="B37" s="165"/>
      <c r="C37" s="166"/>
      <c r="D37" s="167"/>
      <c r="E37" s="167"/>
      <c r="F37" s="166"/>
      <c r="G37" s="167"/>
      <c r="H37" s="167"/>
      <c r="I37" s="168"/>
      <c r="J37" s="168"/>
      <c r="K37" s="168"/>
      <c r="L37" s="168"/>
      <c r="M37" s="56" t="s">
        <v>129</v>
      </c>
      <c r="N37" s="49" t="s">
        <v>120</v>
      </c>
      <c r="O37" s="196"/>
      <c r="P37" s="180">
        <v>8319</v>
      </c>
      <c r="Q37" s="181">
        <v>500</v>
      </c>
      <c r="R37" s="188"/>
      <c r="S37" s="182">
        <f t="shared" si="11"/>
        <v>6.010337780983291</v>
      </c>
      <c r="T37" s="189"/>
      <c r="U37" s="114">
        <v>0</v>
      </c>
    </row>
    <row r="38" spans="13:21" ht="33.75" customHeight="1">
      <c r="M38" s="56" t="s">
        <v>130</v>
      </c>
      <c r="N38" s="49" t="s">
        <v>121</v>
      </c>
      <c r="O38" s="196"/>
      <c r="P38" s="180">
        <v>12150</v>
      </c>
      <c r="Q38" s="181">
        <v>0</v>
      </c>
      <c r="R38" s="188"/>
      <c r="S38" s="182">
        <f>(Q38/P38)*100</f>
        <v>0</v>
      </c>
      <c r="T38" s="189"/>
      <c r="U38" s="197">
        <v>0</v>
      </c>
    </row>
    <row r="39" ht="12.75">
      <c r="N39" s="139"/>
    </row>
  </sheetData>
  <sheetProtection/>
  <mergeCells count="15">
    <mergeCell ref="M1:N1"/>
    <mergeCell ref="O8:O9"/>
    <mergeCell ref="P8:P9"/>
    <mergeCell ref="R8:T8"/>
    <mergeCell ref="R7:U7"/>
    <mergeCell ref="M2:N2"/>
    <mergeCell ref="R1:T1"/>
    <mergeCell ref="Q8:Q9"/>
    <mergeCell ref="A4:U4"/>
    <mergeCell ref="B5:U5"/>
    <mergeCell ref="N8:N9"/>
    <mergeCell ref="B8:B9"/>
    <mergeCell ref="G8:H8"/>
    <mergeCell ref="I8:K8"/>
    <mergeCell ref="M8:M9"/>
  </mergeCells>
  <printOptions/>
  <pageMargins left="0.5511811023622047" right="0.31496062992125984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2021-04-09T00:22:24Z</cp:lastPrinted>
  <dcterms:created xsi:type="dcterms:W3CDTF">2019-04-17T08:29:21Z</dcterms:created>
  <dcterms:modified xsi:type="dcterms:W3CDTF">2022-07-15T02:07:36Z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QY5UZ4ZQWDMN-2102554853-1552</vt:lpwstr>
  </property>
  <property fmtid="{D5CDD505-2E9C-101B-9397-08002B2CF9AE}" pid="4" name="_dlc_DocIdItemGu">
    <vt:lpwstr>5822ba5e-5280-45f7-ad15-e96bb4df3577</vt:lpwstr>
  </property>
  <property fmtid="{D5CDD505-2E9C-101B-9397-08002B2CF9AE}" pid="5" name="_dlc_DocIdU">
    <vt:lpwstr>http://testweb.dongnai.gov.vn:8835/_layouts/15/DocIdRedir.aspx?ID=QY5UZ4ZQWDMN-2102554853-1552, QY5UZ4ZQWDMN-2102554853-1552</vt:lpwstr>
  </property>
</Properties>
</file>