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6410" windowHeight="9315" activeTab="0"/>
  </bookViews>
  <sheets>
    <sheet name="96-QT" sheetId="1" r:id="rId1"/>
    <sheet name="97-QT" sheetId="2" r:id="rId2"/>
    <sheet name="98-QT" sheetId="3" r:id="rId3"/>
    <sheet name="99-QT" sheetId="4" r:id="rId4"/>
    <sheet name="100-QT" sheetId="5" r:id="rId5"/>
    <sheet name="101-QT" sheetId="6" r:id="rId6"/>
    <sheet name="102-QT" sheetId="7" r:id="rId7"/>
    <sheet name="TM.CD" sheetId="8" r:id="rId8"/>
    <sheet name="TM.THU" sheetId="9" r:id="rId9"/>
    <sheet name="TM.CHI"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Print_Titles" localSheetId="4">'100-QT'!$8:$11</definedName>
    <definedName name="_xlnm.Print_Titles" localSheetId="5">'101-QT'!$8:$11</definedName>
    <definedName name="_xlnm.Print_Titles" localSheetId="1">'97-QT'!$8:$10</definedName>
    <definedName name="_xlnm.Print_Titles" localSheetId="2">'98-QT'!$7:$9</definedName>
    <definedName name="_xlnm.Print_Titles" localSheetId="3">'99-QT'!$7:$9</definedName>
    <definedName name="_xlnm.Print_Titles" localSheetId="7">'TM.CD'!$8:$10</definedName>
    <definedName name="_xlnm.Print_Titles" localSheetId="9">'TM.CHI'!$7:$10</definedName>
    <definedName name="_xlnm.Print_Titles" localSheetId="8">'TM.THU'!$7:$10</definedName>
  </definedNames>
  <calcPr fullCalcOnLoad="1"/>
</workbook>
</file>

<file path=xl/comments3.xml><?xml version="1.0" encoding="utf-8"?>
<comments xmlns="http://schemas.openxmlformats.org/spreadsheetml/2006/main">
  <authors>
    <author>user</author>
    <author>Soạn giả</author>
  </authors>
  <commentList>
    <comment ref="G30" authorId="0">
      <text>
        <r>
          <rPr>
            <b/>
            <sz val="8"/>
            <rFont val="Tahoma"/>
            <family val="2"/>
          </rPr>
          <t>user:</t>
        </r>
        <r>
          <rPr>
            <sz val="8"/>
            <rFont val="Tahoma"/>
            <family val="2"/>
          </rPr>
          <t xml:space="preserve">
2,565,987,000 - 1,200,000,000 (LDLD) nhập tách ra chi DTPT khác phần2 nhỏ.</t>
        </r>
      </text>
    </comment>
    <comment ref="B95" authorId="1">
      <text>
        <r>
          <rPr>
            <sz val="9"/>
            <rFont val="Times New Roman"/>
            <family val="1"/>
          </rPr>
          <t>tổng số: 161,074 trđ; chi bstx: 48,228 trđ; XDCB: 43,358 trđ. Còn lại: 69,488 trđ.</t>
        </r>
      </text>
    </comment>
  </commentList>
</comments>
</file>

<file path=xl/sharedStrings.xml><?xml version="1.0" encoding="utf-8"?>
<sst xmlns="http://schemas.openxmlformats.org/spreadsheetml/2006/main" count="1078" uniqueCount="606">
  <si>
    <t>STT</t>
  </si>
  <si>
    <t>Nội dung</t>
  </si>
  <si>
    <t>Dự toán</t>
  </si>
  <si>
    <t>Ngân sách xã</t>
  </si>
  <si>
    <t>Quyết toán</t>
  </si>
  <si>
    <t>1=2+3</t>
  </si>
  <si>
    <t>4=5+6</t>
  </si>
  <si>
    <t>8=5/2</t>
  </si>
  <si>
    <t>9=6/3</t>
  </si>
  <si>
    <t>A</t>
  </si>
  <si>
    <t>I</t>
  </si>
  <si>
    <t>Chi đầu tư phát triển</t>
  </si>
  <si>
    <t>Chi khoa học và công nghệ</t>
  </si>
  <si>
    <t>Chi đầu tư phát triển khác</t>
  </si>
  <si>
    <t>II</t>
  </si>
  <si>
    <t>Chi thường xuyên</t>
  </si>
  <si>
    <t>Trong đó:</t>
  </si>
  <si>
    <t>III</t>
  </si>
  <si>
    <t>Dự phòng ngân sách</t>
  </si>
  <si>
    <t>IV</t>
  </si>
  <si>
    <t>B</t>
  </si>
  <si>
    <t>CHI CÁC CHƯƠNG TRÌNH MỤC TIÊU</t>
  </si>
  <si>
    <t>C</t>
  </si>
  <si>
    <t>So sánh (%)</t>
  </si>
  <si>
    <t>3=2/1</t>
  </si>
  <si>
    <t>Chi y tế, dân số và gia đình</t>
  </si>
  <si>
    <t>Chi bảo vệ môi trường</t>
  </si>
  <si>
    <t>TỔNG SỐ</t>
  </si>
  <si>
    <t>…</t>
  </si>
  <si>
    <t>V</t>
  </si>
  <si>
    <t>1.1</t>
  </si>
  <si>
    <t>-</t>
  </si>
  <si>
    <t>Biểu số 98/CK-NSNN</t>
  </si>
  <si>
    <t>Biểu số 99/CK-NSNN</t>
  </si>
  <si>
    <t>Biểu số 100/CK-NSNN</t>
  </si>
  <si>
    <t>Biểu số 101/CK-NSNN</t>
  </si>
  <si>
    <t>(Quyết toán đã được Hội đồng nhân dân phê chuẩn)</t>
  </si>
  <si>
    <t>Tên đơn vị</t>
  </si>
  <si>
    <t>Tổng số</t>
  </si>
  <si>
    <t>Bổ sung cân đối</t>
  </si>
  <si>
    <t>Bổ sung có mục tiêu</t>
  </si>
  <si>
    <t>Bổ sung vốn đầu tư để thực hiện các chương trình mục tiêu, nhiệm vụ</t>
  </si>
  <si>
    <t>Bổ sung thực hiện các chương trình mục tiêu quốc gia</t>
  </si>
  <si>
    <t>13=7/1</t>
  </si>
  <si>
    <t>14=8/2</t>
  </si>
  <si>
    <t>15=9/3</t>
  </si>
  <si>
    <t>17=11/5</t>
  </si>
  <si>
    <t>18=12/6</t>
  </si>
  <si>
    <t>Xã Bảo Quang</t>
  </si>
  <si>
    <t>Xã Bảo Vinh</t>
  </si>
  <si>
    <t>Xã Bàu Trâm</t>
  </si>
  <si>
    <t>Xã Bình Lộc</t>
  </si>
  <si>
    <t>Xã Hàng Gòn</t>
  </si>
  <si>
    <t>Biểu số 102/CK-NSNN</t>
  </si>
  <si>
    <t>Trong đó</t>
  </si>
  <si>
    <t>Đầu tư phát triển</t>
  </si>
  <si>
    <t>Kinh phí sự nghiệp</t>
  </si>
  <si>
    <t>Vốn trong nước</t>
  </si>
  <si>
    <t>Vốn ngoài nước</t>
  </si>
  <si>
    <t>19=8/4</t>
  </si>
  <si>
    <t>Biểu số 96/CK-NSNN</t>
  </si>
  <si>
    <t>Đơn vị: Triệu đồng</t>
  </si>
  <si>
    <t xml:space="preserve">Dự toán </t>
  </si>
  <si>
    <t>Thu bổ sung từ ngân sách cấp tỉnh</t>
  </si>
  <si>
    <t>Thu bổ sung cân đối</t>
  </si>
  <si>
    <t>Thu bổ sung có mục tiêu</t>
  </si>
  <si>
    <t>Thu bổ sung khác</t>
  </si>
  <si>
    <t>Thu kết dư</t>
  </si>
  <si>
    <t>Thu chuyển nguồn từ năm trước chuyển sang</t>
  </si>
  <si>
    <t> I</t>
  </si>
  <si>
    <t> 1</t>
  </si>
  <si>
    <t>Chi các chương trình mục tiêu</t>
  </si>
  <si>
    <t>Chi các chương trình mục tiêu quốc gia</t>
  </si>
  <si>
    <t>Chi các chương trình mục tiêu, nhiệm vụ</t>
  </si>
  <si>
    <t>Chi chuyển nguồn sang năm sau</t>
  </si>
  <si>
    <t>Biểu số 97/CK-NSNN</t>
  </si>
  <si>
    <t>Tổng thu NSNN</t>
  </si>
  <si>
    <t>5=3/1</t>
  </si>
  <si>
    <t>6=4/2</t>
  </si>
  <si>
    <t>TỔNG THU CÂN ĐỐI NSNN</t>
  </si>
  <si>
    <t>Thu nội địa</t>
  </si>
  <si>
    <t>Thu từ khu vực DNNN do Trung ương quản lý (Chi tiết theo sắc thuế)</t>
  </si>
  <si>
    <t>Thu từ khu vực DNNN do Địa phương quản lý  (Chi tiết theo sắc thuế)</t>
  </si>
  <si>
    <t>Thu từ khu vực doanh nghiệp có vốn đầu tư nước ngoài (Chi tiết theo sắc thuế)</t>
  </si>
  <si>
    <t>Thu từ khu vực kinh tế ngoài quốc doanh (Chi tiết theo sắc thuế)</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</si>
  <si>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</si>
  <si>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</si>
  <si>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</si>
  <si>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</si>
  <si>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</si>
  <si>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</si>
  <si>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</si>
  <si>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</si>
  <si>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</si>
  <si>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tiền cấp quyền khai thác khoáng sản</t>
  </si>
  <si>
    <t>Thu khác ngân sách</t>
  </si>
  <si>
    <t>Thu từ quỹ đất công ích, hoa lợi công sản khác</t>
  </si>
  <si>
    <t>Thu viện trợ</t>
  </si>
  <si>
    <t>THU KẾT DƯ NĂM TRƯỚC</t>
  </si>
  <si>
    <t>THU CHUYỂN NGUỒN TỪ NĂM TRƯỚC CHUYỂN SANG</t>
  </si>
  <si>
    <t>Chi giáo dục - đào tạo và dạy nghề</t>
  </si>
  <si>
    <t>Chi thể dục thể thao</t>
  </si>
  <si>
    <t>Chi bảo đảm xã hội</t>
  </si>
  <si>
    <t xml:space="preserve">TỔNG NGUỒN THU NGÂN SÁCH </t>
  </si>
  <si>
    <t>Chia ra</t>
  </si>
  <si>
    <t>A-</t>
  </si>
  <si>
    <t>Chi thường xuyên</t>
  </si>
  <si>
    <t>Chi nộp ngân sách cấp trên</t>
  </si>
  <si>
    <t>VI</t>
  </si>
  <si>
    <t>VII</t>
  </si>
  <si>
    <t>VIII</t>
  </si>
  <si>
    <t>D</t>
  </si>
  <si>
    <t xml:space="preserve">P.Giáo dục </t>
  </si>
  <si>
    <t>MN Tuổi Thơ</t>
  </si>
  <si>
    <t>MN Sơn Ca</t>
  </si>
  <si>
    <t>MN Bình Minh</t>
  </si>
  <si>
    <t>TH Nguyễn Hữu Cảnh</t>
  </si>
  <si>
    <t>TH Trần Phú</t>
  </si>
  <si>
    <t>TH Hùng Vương</t>
  </si>
  <si>
    <t>TH Nguyễn Du</t>
  </si>
  <si>
    <t>TH Lý Tự Trọng</t>
  </si>
  <si>
    <t>TH Lê Văn Tám</t>
  </si>
  <si>
    <t>TH Trưng Vương</t>
  </si>
  <si>
    <t>TH Bảo Vinh</t>
  </si>
  <si>
    <t>TH Kim Đồng</t>
  </si>
  <si>
    <t>TH Lê Lợi</t>
  </si>
  <si>
    <t>TH Bàu Sen</t>
  </si>
  <si>
    <t>TH Phú Bình</t>
  </si>
  <si>
    <t>TH Đinh Bộ Lĩnh</t>
  </si>
  <si>
    <t>TH Xuân Lập</t>
  </si>
  <si>
    <t>TH Xuân Trung</t>
  </si>
  <si>
    <t>TH Nguyễn Huệ</t>
  </si>
  <si>
    <t>THCS Xuân Lập</t>
  </si>
  <si>
    <t>THCS Xuân Tân</t>
  </si>
  <si>
    <t>THCS Nguyễn Trãi</t>
  </si>
  <si>
    <t>THCS Chu Văn An</t>
  </si>
  <si>
    <t>THCS Hàng Gòn</t>
  </si>
  <si>
    <t>THCS Bảo Quang</t>
  </si>
  <si>
    <t>a</t>
  </si>
  <si>
    <t>P.Kinh tế</t>
  </si>
  <si>
    <t>b</t>
  </si>
  <si>
    <t>P.Nội vụ</t>
  </si>
  <si>
    <t>TT Bồi dưỡng chính trị</t>
  </si>
  <si>
    <t>P.Quản lý đô thị</t>
  </si>
  <si>
    <t>Chi sự nghiệp môi trường</t>
  </si>
  <si>
    <t>P.Tài nguyên-Môi trường</t>
  </si>
  <si>
    <t>d</t>
  </si>
  <si>
    <t>Bảo Hiểm Xã Hội</t>
  </si>
  <si>
    <t>VP. HĐND &amp;UBND</t>
  </si>
  <si>
    <t>P. Tư pháp</t>
  </si>
  <si>
    <t>P.Tài Chính - Kế hoạch</t>
  </si>
  <si>
    <t>P.Dân tộc</t>
  </si>
  <si>
    <t>P. Y tế</t>
  </si>
  <si>
    <t>P.lao động TBXH</t>
  </si>
  <si>
    <t>H.Nông dân</t>
  </si>
  <si>
    <t>UB Mặt trận tổ quốc</t>
  </si>
  <si>
    <t>H.Phụ nữ</t>
  </si>
  <si>
    <t>H.Cựu chiến binh</t>
  </si>
  <si>
    <t>Ban liên lạc Chiến sỹ CMBĐBTĐ</t>
  </si>
  <si>
    <t>H.Người mù</t>
  </si>
  <si>
    <t>Hội khuyến học</t>
  </si>
  <si>
    <t>Hội người cao tuổi</t>
  </si>
  <si>
    <t>UBMTTQVN (Hội Cựu TN Xung Phong )</t>
  </si>
  <si>
    <t>Hội NN chất độc da cam</t>
  </si>
  <si>
    <t xml:space="preserve">H.Chữ thập đỏ      </t>
  </si>
  <si>
    <t>Tòa án</t>
  </si>
  <si>
    <t>Chi cục Thống kê</t>
  </si>
  <si>
    <t>Kho bạc NN.LK</t>
  </si>
  <si>
    <t>Bệnh viện ĐKLK</t>
  </si>
  <si>
    <t>Chi đầu tư XDCB</t>
  </si>
  <si>
    <t>Chi quản lý nhà nước</t>
  </si>
  <si>
    <t>CHI BỔ SUNG CHO NGÂN SÁCH CẤP DƯỚI</t>
  </si>
  <si>
    <t>CHI NỘP NGÂN SÁCH CẤP TRÊN</t>
  </si>
  <si>
    <t>Chi quốc phòng</t>
  </si>
  <si>
    <t>Chi sự nghiệp giáo dục</t>
  </si>
  <si>
    <t>Chi sự nghiệp đào tạo và dạy nghề</t>
  </si>
  <si>
    <t>Chi đào tạo lại</t>
  </si>
  <si>
    <t>Chi sự nghiệp nông - lâm - thủy lợi</t>
  </si>
  <si>
    <t>- Nông nghiệp</t>
  </si>
  <si>
    <t>- Thủy lợi</t>
  </si>
  <si>
    <t>Chi sự nghiệp địa chính</t>
  </si>
  <si>
    <t>Chi sự nghiệp kiến thiết thị chính</t>
  </si>
  <si>
    <t>Chi hoạt động đảng, tổ chức chính trị</t>
  </si>
  <si>
    <t>Dự phòng</t>
  </si>
  <si>
    <t>Bổ sung khác</t>
  </si>
  <si>
    <t>Chi khác</t>
  </si>
  <si>
    <t xml:space="preserve">Chi tạo nguồn cải cách tiền lương </t>
  </si>
  <si>
    <t>Thu từ ngân sách cấp dưới nộp lên</t>
  </si>
  <si>
    <t>Các khoản thu từ huy động đóng góp</t>
  </si>
  <si>
    <t>Chi bổ sung cho ngân sách cấp dưới</t>
  </si>
  <si>
    <t>TỔNG NGUỒN THU NSNN (A+B+C+D)</t>
  </si>
  <si>
    <t xml:space="preserve"> - Phí và lệ phí trung ương</t>
  </si>
  <si>
    <t xml:space="preserve"> - Phí và lệ phí xã, phường</t>
  </si>
  <si>
    <t>Thuế chuyển quyền sử dụng đất</t>
  </si>
  <si>
    <t>Thu hồi vốn, thu cổ tức</t>
  </si>
  <si>
    <t>Lợi nhuận được chia của nhà nước và lợi nhuận sau thuế còn lại sau khi trích lập các quỹ của doanh nghiệp nhà nước</t>
  </si>
  <si>
    <t>Chênh lệch thu chi Ngân hàng Nhà nước</t>
  </si>
  <si>
    <t>Thu từ dầu thô</t>
  </si>
  <si>
    <t>Thu từ hoạt động xuất nhập khẩu</t>
  </si>
  <si>
    <t>Thuế xuất khẩu</t>
  </si>
  <si>
    <t>Thuế nhập khẩu</t>
  </si>
  <si>
    <t>Thuế tiêu thụ đặc biệt thu từ hàng hóa nhập khẩu</t>
  </si>
  <si>
    <t>Thuế bảo vệ môi trường thu từ hàng hóa nhập khẩu</t>
  </si>
  <si>
    <t>Thuế giá trị gia tăng thu từ hàng hóa nhập khẩu</t>
  </si>
  <si>
    <t xml:space="preserve">Thu khác </t>
  </si>
  <si>
    <t>Các khỏan thu huy động đóng góp</t>
  </si>
  <si>
    <t>THU TỪ QUỸ DỰ TRỮ TÀI CHÍNH</t>
  </si>
  <si>
    <t>Nội dung (1)</t>
  </si>
  <si>
    <t>Ngân sách địa phương</t>
  </si>
  <si>
    <t>CHI CÂN ĐỐI NSĐP</t>
  </si>
  <si>
    <t>Chi đầu tư cho các dự án</t>
  </si>
  <si>
    <t>Trong đó: Chia theo lĩnh vực</t>
  </si>
  <si>
    <t>Chi  an ninh và trật tự an toàn xã hội</t>
  </si>
  <si>
    <t>Giáo dục đào tạo và dạy nghề</t>
  </si>
  <si>
    <t>Khoa học, công nghệ</t>
  </si>
  <si>
    <t>Chi văn hóa thông tin</t>
  </si>
  <si>
    <t>Chi phát thanh, truyền hình, thông tấn</t>
  </si>
  <si>
    <t>Chi các hoạt động kinh tế</t>
  </si>
  <si>
    <t>1.2</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</si>
  <si>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</si>
  <si>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</si>
  <si>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</si>
  <si>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</si>
  <si>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trả nợ lãi các khoản do chính quyền địa phương vay</t>
  </si>
  <si>
    <t>Chi bổ sung quỹ dự trữ tài chính</t>
  </si>
  <si>
    <t>CHI CHUYỂN NGUỒN SANG NĂM SAU</t>
  </si>
  <si>
    <t>TỔNG SỐ CHI NSĐP (A+B+C+D)</t>
  </si>
  <si>
    <t>CHI CÂN ĐỐI NGÂN SÁCH</t>
  </si>
  <si>
    <t>Chi đầu tư phát triển cho chương trình, dự án theo lĩnh vực</t>
  </si>
  <si>
    <t>1.3</t>
  </si>
  <si>
    <t>1.4</t>
  </si>
  <si>
    <t>1.5</t>
  </si>
  <si>
    <t>1.6</t>
  </si>
  <si>
    <t>1.7</t>
  </si>
  <si>
    <t>1.8</t>
  </si>
  <si>
    <t>1.9</t>
  </si>
  <si>
    <t>1.10</t>
  </si>
  <si>
    <t>1.11</t>
  </si>
  <si>
    <t>Chi các hoạt động quản lý nhà nước, Đảng, Đoàn thể</t>
  </si>
  <si>
    <t>Chi hỗ trợ khác</t>
  </si>
  <si>
    <t>1.12</t>
  </si>
  <si>
    <t>1.13</t>
  </si>
  <si>
    <t>Chi ngành, lĩnh vực khác</t>
  </si>
  <si>
    <t>Chi đầu tư và hỗ trợ vốn cho các doanh nghiệp hoạt động công ích…</t>
  </si>
  <si>
    <t>Chi trả nợ lãi vay theo quy định</t>
  </si>
  <si>
    <t>Chi UD  khoa học và công nghệ</t>
  </si>
  <si>
    <t>- Lâm nghiệp</t>
  </si>
  <si>
    <t>f</t>
  </si>
  <si>
    <t>h</t>
  </si>
  <si>
    <t>Chi công tác quy hoạch (QH QLKT)</t>
  </si>
  <si>
    <t>i</t>
  </si>
  <si>
    <t xml:space="preserve">Chi sự nghiệp khác </t>
  </si>
  <si>
    <t xml:space="preserve">Chi sự nghiệp giáo dục, đào tạo </t>
  </si>
  <si>
    <t>Dự toán (1)</t>
  </si>
  <si>
    <t>Chi trả nợ lãi do chính quyền địa phương vay (2)</t>
  </si>
  <si>
    <t>Chi bổ sung quỹ dự trữ tài chính (2)</t>
  </si>
  <si>
    <t>Chi chương trình MTQG</t>
  </si>
  <si>
    <t>Chi chuyển nguồn sang ngân sách năm sau</t>
  </si>
  <si>
    <t>CÁC CƠ QUAN, TỔ CHỨC</t>
  </si>
  <si>
    <t>I.1</t>
  </si>
  <si>
    <t>CHI ĐẦU TƯ</t>
  </si>
  <si>
    <t>I.2</t>
  </si>
  <si>
    <t>CHI THƯỜNG XUYÊN</t>
  </si>
  <si>
    <t>MN An Bình</t>
  </si>
  <si>
    <t>MN Bảo Quang</t>
  </si>
  <si>
    <t>MN Phú Bình</t>
  </si>
  <si>
    <t>MG Thanh An</t>
  </si>
  <si>
    <t>MN Xuân Thanh</t>
  </si>
  <si>
    <t>MN Xuân Tân</t>
  </si>
  <si>
    <t>MN Ánh Dương</t>
  </si>
  <si>
    <t>MN Hoa Hồng</t>
  </si>
  <si>
    <t>MN 19/5</t>
  </si>
  <si>
    <t>MN Sen Hồng</t>
  </si>
  <si>
    <t xml:space="preserve">MN An Lộc </t>
  </si>
  <si>
    <t>MN Hoa Sen</t>
  </si>
  <si>
    <t>MN Hàng Gòn</t>
  </si>
  <si>
    <t>MN Vành Khuyên</t>
  </si>
  <si>
    <t>TH Hoà Bình</t>
  </si>
  <si>
    <t>TH Long Khánh</t>
  </si>
  <si>
    <t>THCS Hồ Thị Hương</t>
  </si>
  <si>
    <t>THCS Lê Quý Đôn</t>
  </si>
  <si>
    <t>THCS Ngô Quyền</t>
  </si>
  <si>
    <t>THCS Lê A</t>
  </si>
  <si>
    <t>Thi hành án</t>
  </si>
  <si>
    <t>CHI TRẢ NỢ LÃI CÁC KHOẢN DO CHÍNH QUYỀN ĐỊA PHƯƠNG VAY (2)</t>
  </si>
  <si>
    <t>CHI BỔ SUNG QUỸ DỰ TRỮ TÀI CHÍNH (2)</t>
  </si>
  <si>
    <t>CHI DỰ PHÒNG NGÂN SÁCH</t>
  </si>
  <si>
    <t>CHI TẠO NGUỒN, ĐIỀU CHỈNH TIỀN LƯƠNG</t>
  </si>
  <si>
    <t>CHI BỔ SUNG CÓ MỤC TIÊU CHO NGÂN SÁCH CẤP DƯỚI (3)</t>
  </si>
  <si>
    <t>CHI CHUYỂN NGUỒN SANG NGÂN SÁCH NĂM SAU</t>
  </si>
  <si>
    <t>Chương trình mục tiêu quốc gia ….</t>
  </si>
  <si>
    <t>P.Xuân An</t>
  </si>
  <si>
    <t>P.Xuân Bình</t>
  </si>
  <si>
    <t>P.Xuân Hòa</t>
  </si>
  <si>
    <t>P.Xuân Thanh</t>
  </si>
  <si>
    <t>P.Xuân Trung</t>
  </si>
  <si>
    <t>P. Phú Bình</t>
  </si>
  <si>
    <t>Bổ sung để thực hiện các chế độ, chính sách và nhiệm vụ theo quy định</t>
  </si>
  <si>
    <t>Chi đầu tư phát triển bằng nguồn vốn khác</t>
  </si>
  <si>
    <t>Thuế giá trị gia tăng hàng sản xuất - kinh doanh trong nước</t>
  </si>
  <si>
    <t>Thuế tiêu thụ đặc biệt hàng sản xuất trong nước</t>
  </si>
  <si>
    <t>Thuế tài nguyên</t>
  </si>
  <si>
    <t>Thuế thu nhập doanh nghiệp</t>
  </si>
  <si>
    <t xml:space="preserve"> - Phí và lệ phí tỉnh</t>
  </si>
  <si>
    <t xml:space="preserve"> - Phí và lệ phí  huyện</t>
  </si>
  <si>
    <t>Số TT</t>
  </si>
  <si>
    <t xml:space="preserve">  So sánh QT/DT( % )</t>
  </si>
  <si>
    <t>Cấp trên giao (đầu năm)</t>
  </si>
  <si>
    <t xml:space="preserve">Cấp trên giao (tỉnh giao, bổ sung) </t>
  </si>
  <si>
    <t>HĐND Quyết định</t>
  </si>
  <si>
    <t>HDND Quyết định</t>
  </si>
  <si>
    <t>Tổng số Chi NSĐP</t>
  </si>
  <si>
    <t>Cấp trên giao</t>
  </si>
  <si>
    <t>HĐND quyết định</t>
  </si>
  <si>
    <t>NS thành phố</t>
  </si>
  <si>
    <t>bo sung dot 1</t>
  </si>
  <si>
    <t>bo sung dot 2</t>
  </si>
  <si>
    <t xml:space="preserve">NS xã </t>
  </si>
  <si>
    <t>NS xã (đầu năm)</t>
  </si>
  <si>
    <t>NS Thành phố</t>
  </si>
  <si>
    <t>NS xã</t>
  </si>
  <si>
    <t>2=3+4</t>
  </si>
  <si>
    <t>c</t>
  </si>
  <si>
    <t>8=5/1</t>
  </si>
  <si>
    <t>9=5/2</t>
  </si>
  <si>
    <t>+ NS thành phố hỗ trợ XHHGT</t>
  </si>
  <si>
    <t>+ Chi đầu tư các dự án</t>
  </si>
  <si>
    <t>+ NS thành phố hổ trợ XHHGT các xã</t>
  </si>
  <si>
    <t>+ NS tỉnh hổ trợ XHHGT các xã</t>
  </si>
  <si>
    <t>Chi từ nguồn kết dư năm trước</t>
  </si>
  <si>
    <t>+ Chi hỗ trợ sau quyết toán công trình XHHGT cấp xã</t>
  </si>
  <si>
    <t>+Kết dư ngân sách xã</t>
  </si>
  <si>
    <t>+ Nguồn khen thưởng xã đạt NTM nâng cao</t>
  </si>
  <si>
    <t xml:space="preserve">+ Chi XDCB cho các dự án </t>
  </si>
  <si>
    <t>Nguồn huy động, đóng góp</t>
  </si>
  <si>
    <t>Chi sự nghiệp công thương</t>
  </si>
  <si>
    <t>Tiết kiệm 10% chi thường xuyên</t>
  </si>
  <si>
    <t>Nguồn kết dư còn lại</t>
  </si>
  <si>
    <t>Trong đó:
     + Bằng nguồn vốn trong nước</t>
  </si>
  <si>
    <t xml:space="preserve">     + Bằng nguồn vốn nước ngoài</t>
  </si>
  <si>
    <t>Hoàn trả vốn vay Ngân hàng TMCP đầu tư</t>
  </si>
  <si>
    <t>Hoàn trả vốn vay Ngân hàng công thương</t>
  </si>
  <si>
    <t>CHI TỪ NGUỒN HUY ĐỘNG, ĐÓNG GÓP, DỊCH VỤ</t>
  </si>
  <si>
    <t>- Dịch vụ</t>
  </si>
  <si>
    <t>Ngân sách thành phố</t>
  </si>
  <si>
    <t>Ngân sách cấp (thành phố)</t>
  </si>
  <si>
    <t>Ngân sách (xã)</t>
  </si>
  <si>
    <t>2</t>
  </si>
  <si>
    <t>3</t>
  </si>
  <si>
    <t>5</t>
  </si>
  <si>
    <t>6</t>
  </si>
  <si>
    <t>*</t>
  </si>
  <si>
    <t>Chi đầu tư từ nguồn ngân sách tập trung</t>
  </si>
  <si>
    <t>+ Chuyển nguồn ngân  sách xã</t>
  </si>
  <si>
    <t>Nguồn nhân dân đóng góp</t>
  </si>
  <si>
    <t>Chi quốc phòng - an ninh</t>
  </si>
  <si>
    <t xml:space="preserve">Chi quốc phòng </t>
  </si>
  <si>
    <t>Chi an ninh và trật tự an toàn xã hội</t>
  </si>
  <si>
    <t>Chi ứng dụng khoa học và công nghệ</t>
  </si>
  <si>
    <t>Chi Y tế, dân số và gia đình</t>
  </si>
  <si>
    <t>Chi Văn hóa thông tin</t>
  </si>
  <si>
    <t>Chi Phát thanh, truyền hình, thông tấn</t>
  </si>
  <si>
    <t>Chi Thể dục thể thao</t>
  </si>
  <si>
    <t>Chi Bảo vệ môi trường</t>
  </si>
  <si>
    <t>Chi hoạt động của các cơ quan quản lý nhà nước, đảng, đoàn thể</t>
  </si>
  <si>
    <t>Chi Bảo đảm xã hội</t>
  </si>
  <si>
    <t>Chi trả nợ gốc</t>
  </si>
  <si>
    <t>Tiết kiệm chi thường xuyên 10%</t>
  </si>
  <si>
    <t>Ban Quản lý dự án</t>
  </si>
  <si>
    <t>Phòng Quản lý đô thị</t>
  </si>
  <si>
    <t>`</t>
  </si>
  <si>
    <t>P.Văn hóa-TT</t>
  </si>
  <si>
    <t>Thanh tra thành phố</t>
  </si>
  <si>
    <t>Trung tâm GDNN-GDTX</t>
  </si>
  <si>
    <t>15=4/1</t>
  </si>
  <si>
    <t>17=5/2</t>
  </si>
  <si>
    <t>18=6/3</t>
  </si>
  <si>
    <t>Không có</t>
  </si>
  <si>
    <t>Phần thu</t>
  </si>
  <si>
    <t>Thu NS cấp thành phố</t>
  </si>
  <si>
    <t>Thu NS xã</t>
  </si>
  <si>
    <t>Phần chi</t>
  </si>
  <si>
    <t>Chi NS cấp thành phố</t>
  </si>
  <si>
    <t>Chi NS xã</t>
  </si>
  <si>
    <t>1</t>
  </si>
  <si>
    <t>Tổng số thu</t>
  </si>
  <si>
    <t>Tổng số chi</t>
  </si>
  <si>
    <t>1. Chi đầu tư phát triển</t>
  </si>
  <si>
    <t>2. Chi trả nợ lãi, phí tiền vay</t>
  </si>
  <si>
    <t>3. Chi thường xuyên</t>
  </si>
  <si>
    <t>4. Chi bổ sung quỹ dự trữ tài chính</t>
  </si>
  <si>
    <t>6.Thu huy động đóng góp</t>
  </si>
  <si>
    <t>Tr.đó: - Bổ sung cân đối ngân sách</t>
  </si>
  <si>
    <t xml:space="preserve">             - Bổ sung có mục tiêu</t>
  </si>
  <si>
    <t>C.  Kết dư ngân sách năm quyết toán = (thu - chi)</t>
  </si>
  <si>
    <t>Mẫu biểu số 01</t>
  </si>
  <si>
    <t>Năm 2017</t>
  </si>
  <si>
    <t>Phân chia theo từng cấp ngân sách</t>
  </si>
  <si>
    <t>cấp
trên giao</t>
  </si>
  <si>
    <t xml:space="preserve">
HĐND giao</t>
  </si>
  <si>
    <t>NSTW</t>
  </si>
  <si>
    <t>NSĐP</t>
  </si>
  <si>
    <t xml:space="preserve">Chia ra </t>
  </si>
  <si>
    <t>Dự toán
cấp trên giao</t>
  </si>
  <si>
    <t>Dự toán
HĐND giao</t>
  </si>
  <si>
    <t>NS cấp tỉnh</t>
  </si>
  <si>
    <t>NS cấp xã</t>
  </si>
  <si>
    <t>5=6+7+8</t>
  </si>
  <si>
    <t>9=3/1</t>
  </si>
  <si>
    <t>10=3/2</t>
  </si>
  <si>
    <t>TỔNG CỘNG (A+B+C+D+E)</t>
  </si>
  <si>
    <t>TỔNG ĐÃ LOẠI TRỪ HOÀN THUẾ GTGT</t>
  </si>
  <si>
    <t>THU NGÂN SÁCH NHÀ NƯỚC</t>
  </si>
  <si>
    <t>THU NSNN BAO GỒM HOÀN THUẾ GTGT</t>
  </si>
  <si>
    <t>Thu từ kinh tế quốc doanh</t>
  </si>
  <si>
    <t>Thu từ doanh nghiệp nhà nước trung ương</t>
  </si>
  <si>
    <t>Thu từ doanh nghiệp nhà nước địa phương</t>
  </si>
  <si>
    <t>Thu từ doanh nghiệp đầu tư nước ngoài (không kể thu từ dầu thô)</t>
  </si>
  <si>
    <t>Thu từ khu vực công thương nghiệp - ngoài quốc doanh</t>
  </si>
  <si>
    <t>3.1</t>
  </si>
  <si>
    <t>Huyện thu huyện hưởng</t>
  </si>
  <si>
    <t>3.2</t>
  </si>
  <si>
    <t>Tỉnh thu huyện hưởng</t>
  </si>
  <si>
    <t>0</t>
  </si>
  <si>
    <t>Thu thuế, phí. lệ phí</t>
  </si>
  <si>
    <t>Thu phí. lệ phí trung ương</t>
  </si>
  <si>
    <t>Thu phí. lệ phí tỉnh</t>
  </si>
  <si>
    <t>Thu phí. lệ phí huyện</t>
  </si>
  <si>
    <t>Thu phí. lệ phí xã</t>
  </si>
  <si>
    <t>Thu tiền thuê mặt đất. mặt nước</t>
  </si>
  <si>
    <t>Do Trung ương cấp phép</t>
  </si>
  <si>
    <t>Do Địa phương cấp phép</t>
  </si>
  <si>
    <t>Thu tại xã</t>
  </si>
  <si>
    <t>Thu tiền phạt</t>
  </si>
  <si>
    <t>Trong đó: - Phạt vi phạm hành chính trong lĩnh vực an toàn giao thông</t>
  </si>
  <si>
    <t xml:space="preserve">Thu tịch thu </t>
  </si>
  <si>
    <t>Thu hồi các khoản chi năm trước</t>
  </si>
  <si>
    <t>Thu từ quỹ đất công ích và hoa lợi công sản khác</t>
  </si>
  <si>
    <t>Thu khác còn lại</t>
  </si>
  <si>
    <t>Thu chênh lệch tỷ giá ngoại tệ</t>
  </si>
  <si>
    <t>                - Phạt vi phạm hành chính do ngành thuế thực hiện</t>
  </si>
  <si>
    <t>Tr.đó: Tịch thu chống lậu</t>
  </si>
  <si>
    <t>Thu tiền bán hàng hóa. vật tư dự trữ</t>
  </si>
  <si>
    <t>Thu tiền cho thuê. bán tài sản khác</t>
  </si>
  <si>
    <t>Lãi thu từ các khoản tham gia góp vốn của nhà nước</t>
  </si>
  <si>
    <t>Thu hồi vốn. lợi nhuận. lợi nhuận sau thuế. chênh lệch thu chi của NHNN</t>
  </si>
  <si>
    <t>Thu xổ số kiến thiết</t>
  </si>
  <si>
    <t>Thuế giá trị gia tăng</t>
  </si>
  <si>
    <t xml:space="preserve">Thu từ thu nhập sau thuế </t>
  </si>
  <si>
    <t>Thuế tiêu thụ đặc biệt</t>
  </si>
  <si>
    <t>Thu khác</t>
  </si>
  <si>
    <t>THU CÂN ĐỐI HẢI QUAN</t>
  </si>
  <si>
    <t>Thu Hải quan</t>
  </si>
  <si>
    <t>Thu xuất, nhập khẩu, tiêu thụ đặc biệt hàng nhập khẩu</t>
  </si>
  <si>
    <t>Thuế tiêu thụ đặc biệt hàng nhập khẩu</t>
  </si>
  <si>
    <t>Thuế giá trị gia tăng hàng nhập khẩu</t>
  </si>
  <si>
    <t>Thuế bổ sung đối với hàng hoá nhập khẩu vào Việt Nam</t>
  </si>
  <si>
    <t>Thuế bảo vệ môi trường hàng nhập khẩu</t>
  </si>
  <si>
    <t>Hoàn thuế GTGT</t>
  </si>
  <si>
    <t>Thu Viện trợ</t>
  </si>
  <si>
    <t>Các khoản huy động đóng góp</t>
  </si>
  <si>
    <t>Các khoản huy động đóng góp xây dựng cơ sở hạ tầng</t>
  </si>
  <si>
    <t>Các khoản huy động đóng góp khác</t>
  </si>
  <si>
    <t>Thu hồi vốn của Nhà nước và thu từ quỹ dự trữ tài chính</t>
  </si>
  <si>
    <t>Thu từ bán cổ phần, vốn góp của Nhà nước nộp ngân sách</t>
  </si>
  <si>
    <t>Thu từ các khoản cho vay của ngân sách</t>
  </si>
  <si>
    <t>Thu nợ gốc cho vay</t>
  </si>
  <si>
    <t>Thu lãi cho vay</t>
  </si>
  <si>
    <t>Thu từ quỹ dự trữ tài chính</t>
  </si>
  <si>
    <t>VAY CỦA NGÂN SÁCH ĐỊA PHƯƠNG</t>
  </si>
  <si>
    <t>Vay trong nước</t>
  </si>
  <si>
    <t>Vay lại từ nguồn Chính phủ vay ngoài nước</t>
  </si>
  <si>
    <t>THU CHUYỂN GIAO NGÂN SÁCH</t>
  </si>
  <si>
    <t>Thu bổ sung từ ngân sách cấp trên</t>
  </si>
  <si>
    <t xml:space="preserve">Bổ sung cân đối </t>
  </si>
  <si>
    <t xml:space="preserve">Bổ sung có mục tiêu bằng nguồn vốn trong nước </t>
  </si>
  <si>
    <t>Bổ sung có mục tiêu bằng nguồn vốn ngoài nước</t>
  </si>
  <si>
    <t>Thu hỗ trợ từ địa phương khác</t>
  </si>
  <si>
    <t>THU CHUYỂN NGUỒN</t>
  </si>
  <si>
    <t>E</t>
  </si>
  <si>
    <t>THU KẾT DƯ NGÂN SÁCH</t>
  </si>
  <si>
    <t>Mẫu biểu số 03</t>
  </si>
  <si>
    <t>Chuyển nguồn</t>
  </si>
  <si>
    <t>16=11/4</t>
  </si>
  <si>
    <t>Thu ngân sách thành phố được hưởng theo phân cấp</t>
  </si>
  <si>
    <t>Thu ngân sách thành phố hưởng 100%</t>
  </si>
  <si>
    <t xml:space="preserve">Thu ngân sách thành phố hưởng từ các khoản thu phân chia </t>
  </si>
  <si>
    <t>Chi cân đối ngân sách thành phố</t>
  </si>
  <si>
    <t>TỔNG CHI NGÂN SÁCH THÀNH PHỐ</t>
  </si>
  <si>
    <t>THÀNH PHỐ LONG KHÁNH</t>
  </si>
  <si>
    <t xml:space="preserve">     ỦY BAN NHÂN DÂN</t>
  </si>
  <si>
    <t>P. Bàu Sen</t>
  </si>
  <si>
    <t>P. Suối Tre</t>
  </si>
  <si>
    <t>P. Xuân Lập</t>
  </si>
  <si>
    <t>P. Xuân Tân</t>
  </si>
  <si>
    <t>+ NS tỉnh khen thưởng NTM</t>
  </si>
  <si>
    <t>Nguồn chuyển nguồn 2019 sang 2020</t>
  </si>
  <si>
    <t>+ NS tỉnh khen thưởng xã đạt nông thôn mới</t>
  </si>
  <si>
    <t>+ NS TP hỗ trợ XHHGT</t>
  </si>
  <si>
    <t>+ Ns tỉnh khen thưởng  xã đạt NTM kiểu mẫu 2019</t>
  </si>
  <si>
    <t>+ Nguồn tỉnh khen thưởng TX đạt NTM</t>
  </si>
  <si>
    <t>+ Nguồn khen thưởng xã đạt NTM kiểu mẫu</t>
  </si>
  <si>
    <t>+ NS tỉnh hỗ trợ XHHGT</t>
  </si>
  <si>
    <t>+ NS tỉnh khen thưởng nông thôn mới</t>
  </si>
  <si>
    <t>+ NS thành phố hỗ trợ có mục tiêu</t>
  </si>
  <si>
    <t>- Vốn ủy thác qua Ngân hàng Chính sách xã hội cho nghèo và các đối tượng khác vay</t>
  </si>
  <si>
    <t>Thanh toán khối lượng hoàn thành trong năm của phần vốn tạm ứng chưa thu hồi từ khởi công đến hết niên độ ngân sách năm trước</t>
  </si>
  <si>
    <t>e</t>
  </si>
  <si>
    <t>Chi đầu tư phát triển khác (chi từ nguồn kết dư NSTT)</t>
  </si>
  <si>
    <t>NỘP NGÂN SÁCH CẤP TRÊN</t>
  </si>
  <si>
    <t>F</t>
  </si>
  <si>
    <t xml:space="preserve">      ỦY BAN NHÂN DÂN 
THÀNH PHỐ LONG KHÁNH</t>
  </si>
  <si>
    <t xml:space="preserve">Tổng cộng dự toán HĐND thành phố giao </t>
  </si>
  <si>
    <t>Bao gồm</t>
  </si>
  <si>
    <t>chuyển nguồn</t>
  </si>
  <si>
    <t>hủy</t>
  </si>
  <si>
    <t>7=5/1</t>
  </si>
  <si>
    <t xml:space="preserve">      ỦY BAN NHÂN DÂN</t>
  </si>
  <si>
    <t>CHI BỔ SUNG CÂN ĐỐI CHO NGÂN SÁCH CẤP DƯỚI (1)</t>
  </si>
  <si>
    <t>CHI NGÂN SÁCH THÀNH PHỐ THEO LĨNH VỰC</t>
  </si>
  <si>
    <t>Chi hoạt động của cơ quan quản lý nhà nước, đảng, đoàn thể</t>
  </si>
  <si>
    <t>Chi đầu tư khác</t>
  </si>
  <si>
    <t>Chi thường xuyên khác</t>
  </si>
  <si>
    <t>Chi trả nợ lãi các khoản do chính quyền địa phương vay (2)</t>
  </si>
  <si>
    <t>Chi tạo nguồn, điều chỉnh tiền lương</t>
  </si>
  <si>
    <t xml:space="preserve">Quyết toán                                                                                                                                                                                                                            </t>
  </si>
  <si>
    <t>Phòng Văn hóa và Thông tin</t>
  </si>
  <si>
    <t>Ngân hàng CSXH (chi ủy thác)</t>
  </si>
  <si>
    <t>Văn phòng Thành ủy</t>
  </si>
  <si>
    <t>Thành đoàn</t>
  </si>
  <si>
    <t>BCHQS thành phố</t>
  </si>
  <si>
    <t>Công an thành phố</t>
  </si>
  <si>
    <t>Chi cục thuế khu vực Long Khánh - Cẩm Mỹ</t>
  </si>
  <si>
    <t>Trung tâm Y tế</t>
  </si>
  <si>
    <t>ỦY BAN NHÂN DÂN</t>
  </si>
  <si>
    <t>1. Các khoản thu NSĐP hưởng 100%</t>
  </si>
  <si>
    <t>2. Các khoản thu phân chia theo tỷ lệ %</t>
  </si>
  <si>
    <t>3. Thu từ quỹ dự trữ tài chính</t>
  </si>
  <si>
    <t>4. Thu kết dư năm trước</t>
  </si>
  <si>
    <t>5. Thu chuyển nguồn từ năm trước sang</t>
  </si>
  <si>
    <t>7. Thu viện trợ</t>
  </si>
  <si>
    <t>8. Thu bổ sung từ ngân sách cấp trên</t>
  </si>
  <si>
    <t>NS cấp huyện</t>
  </si>
  <si>
    <t>- Thuế môn bài</t>
  </si>
  <si>
    <t xml:space="preserve">- Thu khác </t>
  </si>
  <si>
    <t>Trong đó: Ghi thu tiền thuê mặt đất, mặt nước</t>
  </si>
  <si>
    <t>Thu từ bán tài sản nhà nước</t>
  </si>
  <si>
    <t>Chi sữa chữa cơ sở vật chất, trang thiết bị trường học</t>
  </si>
  <si>
    <t>a'</t>
  </si>
  <si>
    <t>- Chi định canh định cư</t>
  </si>
  <si>
    <t>Chi hỗ trợ đoàn thể, hội đặc thù</t>
  </si>
  <si>
    <t>Chi sự nghiệp khác</t>
  </si>
  <si>
    <t>Hoàn trả ngân sách tỉnh tiền chậm nộp tiền SDĐ</t>
  </si>
  <si>
    <t>- Học phí, dịch vụ</t>
  </si>
  <si>
    <t>Đơn vị tính: Triệu đồng</t>
  </si>
  <si>
    <t>CÔNG KHAI CÂN ĐỐI THU - CHI NGÂN SÁCH THÀNH PHỐ NĂM 2021</t>
  </si>
  <si>
    <t>CÔNG KHAI QUYẾT TOÁN NGUỒN THU NGÂN SÁCH NHÀ NƯỚC NĂM 2021</t>
  </si>
  <si>
    <t>tỷ lệ</t>
  </si>
  <si>
    <t>Thu NSĐP</t>
  </si>
  <si>
    <t xml:space="preserve"> - Thuế BVMT Thu từ hàng hóa sản xuất, kinh doanh trong nước</t>
  </si>
  <si>
    <t xml:space="preserve"> - Thuế BVMT Thu từ hàng hóa nhập khẩu</t>
  </si>
  <si>
    <t>Thu từ hoạt động xổ số kiến thiết</t>
  </si>
  <si>
    <t>CÔNG KHAI QUYẾT TOÁN CHI NGÂN SÁCH ĐỊA PHƯƠNG, CHI NGÂN SÁCH CẤP THÀNH PHỐ 
VÀ CHI NGÂN SÁCH XÃ THEO CƠ CẤU CHI NĂM 2021</t>
  </si>
  <si>
    <t>TỔNG CHI NSĐP (A+…+F)</t>
  </si>
  <si>
    <t>Kế hoạch 2021</t>
  </si>
  <si>
    <t>+ Chi đầu tư các dự án kế hoạch 2021</t>
  </si>
  <si>
    <t>Nguồn chuyển nguồn 2020 sang 2021</t>
  </si>
  <si>
    <t>+Tỉnh hỗ trợ XHHGT các xã năm 2021 :</t>
  </si>
  <si>
    <t>+Chi đầu tư từ nguồn khen thưởng của tỉnh cho xã đạt NTM kiểu mẫu</t>
  </si>
  <si>
    <t xml:space="preserve"> </t>
  </si>
  <si>
    <t>+ Kết dư ngân sách xã</t>
  </si>
  <si>
    <t>+ NS thành phố hỗ trợ các công trình  XHH</t>
  </si>
  <si>
    <t>CÔNG KHAI QUYẾT TOÁN CHI NGÂN SÁCH THÀNH PHỐ 
THEO LĨNH VỰC NĂM 2021</t>
  </si>
  <si>
    <r>
      <t xml:space="preserve">Chi đầu tư phát triển </t>
    </r>
    <r>
      <rPr>
        <sz val="10"/>
        <rFont val="Times New Roman"/>
        <family val="1"/>
      </rPr>
      <t>(Không kể chương trình MTQG)</t>
    </r>
  </si>
  <si>
    <r>
      <t xml:space="preserve">Chi thường xuyên </t>
    </r>
    <r>
      <rPr>
        <sz val="10"/>
        <rFont val="Times New Roman"/>
        <family val="1"/>
      </rPr>
      <t>(Không kể chương trình MTQG)</t>
    </r>
  </si>
  <si>
    <t>Thành ủy</t>
  </si>
  <si>
    <t>TTVH Thông tin và Thể thao</t>
  </si>
  <si>
    <t>Trung tâm dịch vụ Nông nghiệp</t>
  </si>
  <si>
    <t>Đội Quản lý TT số 5</t>
  </si>
  <si>
    <t>Ngân hàng Nno PTNT</t>
  </si>
  <si>
    <t>Viện kiểm soát</t>
  </si>
  <si>
    <t>CÔNG KHAI QUYẾT TOÁN CHI NGÂN SÁCH CẤP THÀNH PHỐ CHO TỪNG CƠ QUAN, TỔ CHỨC NĂM 2021</t>
  </si>
  <si>
    <t>CÔNG KHAI QUYẾT TOÁN CHI BỔ SUNG TỪ NGÂN SÁCH CẤP THÀNH PHỐ CHO NGÂN SÁCH TỪNG XÃ NĂM 2021</t>
  </si>
  <si>
    <t>CÔNG KHAI QUYẾT TOÁN CHI CHƯƠNG TRÌNH MỤC TIÊU QUỐC GIA NGÂN SÁCH CẤP THÀNH PHỐ VÀ NGÂN SÁCH CẤP XÃ NĂM 2021</t>
  </si>
  <si>
    <t>A Tổng số thu cân đối ngân sách</t>
  </si>
  <si>
    <t>A Tổng số chi cân đối ngân sách</t>
  </si>
  <si>
    <t>5 Chi bổ sung cho ngân sách cấp dưới</t>
  </si>
  <si>
    <t>6 Chi chuyển nguồn sang năm sau</t>
  </si>
  <si>
    <t>7 Chi nộp ngân sách cấp trên</t>
  </si>
  <si>
    <t>B Vay của ngân sách cấp tỉnh (chi tiết theo mục đích vay và nguồn vay)</t>
  </si>
  <si>
    <t>B Chi trả nợ gốc (chi tiết từng nguồn trả nợ gốc)1</t>
  </si>
  <si>
    <t>CÔNG KHAI CÂN ĐỐI QUYẾT TOÁN THU - CHI NGÂN SÁCH ĐỊA PHƯƠNG NĂM 2021</t>
  </si>
  <si>
    <t>Dự toán 2021</t>
  </si>
  <si>
    <t>Quyết toán năm 2021</t>
  </si>
  <si>
    <t>Tạm thu ngân sách</t>
  </si>
  <si>
    <t>NS thành phố (đầu năm)</t>
  </si>
  <si>
    <t>Tiết kiệm 10% chi thường xuyên; 
Tiết kiệm 10% theo NQ 58</t>
  </si>
  <si>
    <t>Nguồn chi covid-19 còn lại</t>
  </si>
  <si>
    <t>Hoàn trả theo kiến nghị kiểm toán</t>
  </si>
  <si>
    <t>Biểu biểu số 02</t>
  </si>
  <si>
    <t>CÔNG KHAI QUYẾT TOÁN THU NGÂN SÁCH NHÀ NƯỚC NĂM 2021</t>
  </si>
  <si>
    <t>CÔNG KHAI QUYẾT TOÁN CHI NGÂN SÁCH ĐỊA PHƯƠNG NĂM 2021</t>
  </si>
  <si>
    <t>Đơn vị tính: Triệu dồng</t>
  </si>
  <si>
    <t>Dự toán năm 2021</t>
  </si>
  <si>
    <t>1'</t>
  </si>
  <si>
    <t>(Kèm theo Quyết định số 1461/QĐ-UBND ngày 08/8/2022 của UBND thành phố)</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</si>
</sst>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0.0000"/>
    <numFmt numFmtId="183" formatCode="0.00000"/>
    <numFmt numFmtId="184" formatCode="0.000000"/>
    <numFmt numFmtId="185" formatCode="0.0000000"/>
    <numFmt numFmtId="186" formatCode="_(* #,##0.0_);_(* \(#,##0.0\);_(* &quot;-&quot;??_);_(@_)"/>
    <numFmt numFmtId="187" formatCode="_(* #,##0.000_);_(* \(#,##0.000\);_(* &quot;-&quot;??_);_(@_)"/>
    <numFmt numFmtId="188" formatCode="_(* #,##0.0000_);_(* \(#,##0.0000\);_(* &quot;-&quot;??_);_(@_)"/>
    <numFmt numFmtId="189" formatCode="_(* #,##0.00000_);_(* \(#,##0.00000\);_(* &quot;-&quot;??_);_(@_)"/>
    <numFmt numFmtId="190" formatCode="_(* #,##0.000000_);_(* \(#,##0.000000\);_(* &quot;-&quot;??_);_(@_)"/>
    <numFmt numFmtId="191" formatCode="_(* #,##0.0000000_);_(* \(#,##0.0000000\);_(* &quot;-&quot;??_);_(@_)"/>
    <numFmt numFmtId="192" formatCode="_(* #,##0.000_);_(* \(#,##0.000\);_(* &quot;-&quot;???_);_(@_)"/>
    <numFmt numFmtId="193" formatCode="_(* #,##0.0000000_);_(* \(#,##0.0000000\);_(* &quot;-&quot;???????_);_(@_)"/>
    <numFmt numFmtId="194" formatCode="_(* #,##0_);_(* \(#,##0\);_(* &quot;-&quot;??_);_(@_)"/>
    <numFmt numFmtId="195" formatCode="0.00000000"/>
    <numFmt numFmtId="196" formatCode="0.000000000"/>
    <numFmt numFmtId="197" formatCode="0.0000000000"/>
    <numFmt numFmtId="198" formatCode="0.00000000000"/>
    <numFmt numFmtId="199" formatCode="_(* #,##0.00000000_);_(* \(#,##0.00000000\);_(* &quot;-&quot;??_);_(@_)"/>
    <numFmt numFmtId="200" formatCode="_(* #,##0.0000_);_(* \(#,##0.0000\);_(* &quot;-&quot;????_);_(@_)"/>
    <numFmt numFmtId="201" formatCode="_(* #,##0.00000_);_(* \(#,##0.00000\);_(* &quot;-&quot;????_);_(@_)"/>
    <numFmt numFmtId="202" formatCode="_(* #,##0.000000_);_(* \(#,##0.000000\);_(* &quot;-&quot;????_);_(@_)"/>
    <numFmt numFmtId="203" formatCode="_(* #,##0.0000000_);_(* \(#,##0.0000000\);_(* &quot;-&quot;????_);_(@_)"/>
    <numFmt numFmtId="204" formatCode="_(* #,##0.000000_);_(* \(#,##0.000000\);_(* &quot;-&quot;??????_);_(@_)"/>
    <numFmt numFmtId="205" formatCode="0.0%"/>
    <numFmt numFmtId="206" formatCode="#,##0;[Red]#,##0"/>
    <numFmt numFmtId="207" formatCode="#,##0.0;[Red]#,##0.0"/>
    <numFmt numFmtId="208" formatCode="#,##0.00;[Red]#,##0.00"/>
    <numFmt numFmtId="209" formatCode="0.0"/>
    <numFmt numFmtId="210" formatCode="#,##0.0"/>
    <numFmt numFmtId="211" formatCode="#,##0.00.."/>
    <numFmt numFmtId="212" formatCode="###,##0.00,,"/>
    <numFmt numFmtId="213" formatCode="_-* #,##0\ _€_-;\-* #,##0\ _€_-;_-* \-??\ _€_-;_-@_-"/>
    <numFmt numFmtId="214" formatCode="_-* #,##0\ _₫_-;\-* #,##0\ _₫_-;_-* &quot;-&quot;??\ _₫_-;_-@_-"/>
    <numFmt numFmtId="215" formatCode="_-* #,##0_-;\-* #,##0_-;_-* &quot;-&quot;??_-;_-@_-"/>
    <numFmt numFmtId="216" formatCode="_-* #,##0.0_-;\-* #,##0.0_-;_-* &quot;-&quot;??_-;_-@_-"/>
    <numFmt numFmtId="217" formatCode="##,##0.00,,"/>
    <numFmt numFmtId="218" formatCode="_-* #,##0\ _€_-;\-* #,##0\ _€_-;_-* &quot;-&quot;??\ _€_-;_-@_-"/>
    <numFmt numFmtId="219" formatCode="###,##0,,"/>
    <numFmt numFmtId="220" formatCode="#,##0.000000"/>
    <numFmt numFmtId="221" formatCode="#,##0.00%;\-#,##0%"/>
    <numFmt numFmtId="222" formatCode="_-* #,##0.0\ _€_-;\-* #,##0.0\ _€_-;_-* &quot;-&quot;??\ _€_-;_-@_-"/>
    <numFmt numFmtId="223" formatCode="#"/>
    <numFmt numFmtId="224" formatCode="00"/>
    <numFmt numFmtId="225" formatCode="#,##0.00,,"/>
    <numFmt numFmtId="226" formatCode="_-* #,##0\ _F_-;\-* #,##0\ _F_-;_-* &quot;-&quot;??\ _F_-;_-@_-"/>
    <numFmt numFmtId="227" formatCode="###,##0,,,"/>
  </numFmts>
  <fonts count="100">
    <font>
      <sz val="10"/>
      <name val="Arial"/>
      <family val="0"/>
    </font>
    <font>
      <sz val="8"/>
      <name val="Arial"/>
      <family val="2"/>
    </font>
    <font>
      <b/>
      <sz val="10"/>
      <name val="Times New Roman"/>
      <family val="1"/>
    </font>
    <font>
      <sz val="10"/>
      <name val="Times New Roman"/>
      <family val="1"/>
    </font>
    <font>
      <i/>
      <sz val="10"/>
      <name val="Times New Roman"/>
      <family val="1"/>
    </font>
    <font>
      <sz val="8"/>
      <name val="Times New Roman"/>
      <family val="1"/>
    </font>
    <font>
      <sz val="12"/>
      <name val="Times New Roman"/>
      <family val="1"/>
    </font>
    <font>
      <b/>
      <sz val="12"/>
      <name val="Times New Roman"/>
      <family val="1"/>
    </font>
    <font>
      <sz val="9"/>
      <name val="Times New Roman"/>
      <family val="1"/>
    </font>
    <font>
      <sz val="13"/>
      <name val="Times New Roman"/>
      <family val="1"/>
    </font>
    <font>
      <sz val="14"/>
      <name val="Times New Roman"/>
      <family val="1"/>
    </font>
    <font>
      <b/>
      <sz val="13"/>
      <name val="Times New Roman"/>
      <family val="1"/>
    </font>
    <font>
      <sz val="14"/>
      <color indexed="8"/>
      <name val="Times New Roman"/>
      <family val="1"/>
    </font>
    <font>
      <b/>
      <sz val="13"/>
      <color indexed="8"/>
      <name val="Times New Roman"/>
      <family val="1"/>
    </font>
    <font>
      <i/>
      <sz val="14"/>
      <color indexed="8"/>
      <name val="Times New Roman"/>
      <family val="1"/>
    </font>
    <font>
      <i/>
      <sz val="12"/>
      <name val="Times New Roman"/>
      <family val="1"/>
    </font>
    <font>
      <b/>
      <sz val="14"/>
      <name val="Times New Roman"/>
      <family val="1"/>
    </font>
    <font>
      <i/>
      <sz val="13"/>
      <name val="Times New Roman"/>
      <family val="1"/>
    </font>
    <font>
      <i/>
      <sz val="12"/>
      <color indexed="8"/>
      <name val="Times New Roman"/>
      <family val="1"/>
    </font>
    <font>
      <sz val="12"/>
      <color indexed="8"/>
      <name val="Times New Roman"/>
      <family val="1"/>
    </font>
    <font>
      <sz val="11"/>
      <name val="VnHelv"/>
      <family val="0"/>
    </font>
    <font>
      <b/>
      <sz val="11"/>
      <color indexed="8"/>
      <name val="Times New Roman"/>
      <family val="1"/>
    </font>
    <font>
      <b/>
      <sz val="10"/>
      <color indexed="8"/>
      <name val="Times New Roman"/>
      <family val="1"/>
    </font>
    <font>
      <sz val="10"/>
      <color indexed="8"/>
      <name val="Times New Roman"/>
      <family val="1"/>
    </font>
    <font>
      <b/>
      <sz val="9"/>
      <color indexed="8"/>
      <name val="Times New Roman"/>
      <family val="1"/>
    </font>
    <font>
      <b/>
      <i/>
      <sz val="12"/>
      <name val="Times New Roman"/>
      <family val="1"/>
    </font>
    <font>
      <sz val="11"/>
      <color indexed="8"/>
      <name val="Calibri"/>
      <family val="2"/>
    </font>
    <font>
      <b/>
      <sz val="8"/>
      <name val="Tahoma"/>
      <family val="2"/>
    </font>
    <font>
      <b/>
      <sz val="9"/>
      <name val="Times New Roman"/>
      <family val="1"/>
    </font>
    <font>
      <b/>
      <sz val="12"/>
      <color indexed="8"/>
      <name val="Times New Roman"/>
      <family val="1"/>
    </font>
    <font>
      <b/>
      <sz val="11"/>
      <name val="Times New Roman"/>
      <family val="1"/>
    </font>
    <font>
      <i/>
      <sz val="14"/>
      <name val="Times New Roman"/>
      <family val="1"/>
    </font>
    <font>
      <i/>
      <sz val="11"/>
      <color indexed="8"/>
      <name val="Times New Roman"/>
      <family val="1"/>
    </font>
    <font>
      <b/>
      <sz val="8"/>
      <color indexed="8"/>
      <name val="Times New Roman"/>
      <family val="1"/>
    </font>
    <font>
      <i/>
      <sz val="11"/>
      <name val="Times New Roman"/>
      <family val="1"/>
    </font>
    <font>
      <sz val="8"/>
      <color indexed="8"/>
      <name val="Times New Roman"/>
      <family val="1"/>
    </font>
    <font>
      <sz val="12"/>
      <name val="Arial"/>
      <family val="2"/>
    </font>
    <font>
      <sz val="10"/>
      <name val="MS Sans Serif"/>
      <family val="2"/>
    </font>
    <font>
      <i/>
      <sz val="9"/>
      <name val="Times New Roman"/>
      <family val="1"/>
    </font>
    <font>
      <sz val="9"/>
      <color indexed="8"/>
      <name val="Calibri"/>
      <family val="2"/>
    </font>
    <font>
      <sz val="10"/>
      <color indexed="8"/>
      <name val="MS Sans Serif"/>
      <family val="2"/>
    </font>
    <font>
      <b/>
      <sz val="10"/>
      <color indexed="8"/>
      <name val="Calibri"/>
      <family val="2"/>
    </font>
    <font>
      <sz val="11"/>
      <name val="Times New Roman"/>
      <family val="1"/>
    </font>
    <font>
      <sz val="8"/>
      <name val="Tahoma"/>
      <family val="2"/>
    </font>
    <font>
      <sz val="11"/>
      <name val="Calibri"/>
      <family val="2"/>
    </font>
    <font>
      <b/>
      <sz val="13"/>
      <name val=".VnTimeH"/>
      <family val="2"/>
    </font>
    <font>
      <sz val="12"/>
      <name val=".VnTime"/>
      <family val="2"/>
    </font>
    <font>
      <b/>
      <sz val="18"/>
      <name val="Times New Roman"/>
      <family val="1"/>
    </font>
    <font>
      <b/>
      <sz val="11"/>
      <name val="Calibri"/>
      <family val="2"/>
    </font>
    <font>
      <u val="single"/>
      <sz val="9"/>
      <name val="Times New Roman"/>
      <family val="1"/>
    </font>
    <font>
      <b/>
      <i/>
      <sz val="9"/>
      <name val="Times New Roman"/>
      <family val="1"/>
    </font>
    <font>
      <b/>
      <sz val="12"/>
      <name val="Calibri"/>
      <family val="2"/>
    </font>
    <font>
      <sz val="12"/>
      <name val="Calibri"/>
      <family val="2"/>
    </font>
    <font>
      <i/>
      <sz val="12"/>
      <name val="Calibri"/>
      <family val="2"/>
    </font>
    <font>
      <u val="singleAccounting"/>
      <sz val="12"/>
      <name val="Times New Roman"/>
      <family val="1"/>
    </font>
    <font>
      <i/>
      <u val="singleAccounting"/>
      <sz val="12"/>
      <name val="Times New Roman"/>
      <family val="1"/>
    </font>
    <font>
      <b/>
      <i/>
      <sz val="11"/>
      <name val="Calibri"/>
      <family val="2"/>
    </font>
    <font>
      <i/>
      <sz val="11"/>
      <name val="Calibri"/>
      <family val="2"/>
    </font>
    <font>
      <sz val="10"/>
      <name val="Calibri"/>
      <family val="2"/>
    </font>
    <font>
      <b/>
      <sz val="11"/>
      <name val="MS Sans Serif"/>
      <family val="2"/>
    </font>
    <font>
      <sz val="11"/>
      <name val="MS Sans Serif"/>
      <family val="2"/>
    </font>
    <font>
      <sz val="9"/>
      <name val="Calibri"/>
      <family val="2"/>
    </font>
    <font>
      <b/>
      <i/>
      <sz val="11"/>
      <name val="Times New Roman"/>
      <family val="1"/>
    </font>
    <font>
      <u val="single"/>
      <sz val="11"/>
      <name val="Times New Roman"/>
      <family val="1"/>
    </font>
    <font>
      <b/>
      <u val="single"/>
      <sz val="11"/>
      <name val="Times New Roman"/>
      <family val="1"/>
    </font>
    <font>
      <u val="singleAccounting"/>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bottom style="thin">
        <color indexed="8"/>
      </bottom>
    </border>
    <border>
      <left>
        <color indexed="63"/>
      </left>
      <right>
        <color indexed="63"/>
      </right>
      <top>
        <color indexed="63"/>
      </top>
      <bottom style="thin"/>
    </border>
    <border>
      <left style="thin">
        <color indexed="8"/>
      </left>
      <right style="thin">
        <color indexed="8"/>
      </right>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right/>
      <top/>
      <bottom style="thin">
        <color indexed="8"/>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26"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36" fillId="0" borderId="0">
      <alignment/>
      <protection/>
    </xf>
    <xf numFmtId="0" fontId="26"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522">
    <xf numFmtId="0" fontId="0" fillId="0" borderId="0" xfId="0" applyAlignment="1">
      <alignment/>
    </xf>
    <xf numFmtId="0" fontId="11"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9" fillId="0" borderId="10" xfId="0" applyFont="1" applyBorder="1" applyAlignment="1">
      <alignment horizontal="left" vertical="center" wrapText="1"/>
    </xf>
    <xf numFmtId="0" fontId="13" fillId="0" borderId="10" xfId="0" applyFont="1" applyBorder="1" applyAlignment="1">
      <alignment horizontal="left" vertical="center" wrapText="1"/>
    </xf>
    <xf numFmtId="0" fontId="17" fillId="0" borderId="10" xfId="0" applyFont="1" applyBorder="1" applyAlignment="1">
      <alignment horizontal="left" vertical="center" wrapText="1"/>
    </xf>
    <xf numFmtId="212" fontId="23" fillId="0" borderId="10" xfId="42" applyNumberFormat="1" applyFont="1" applyFill="1" applyBorder="1" applyAlignment="1">
      <alignment horizontal="right" vertical="center" wrapText="1"/>
    </xf>
    <xf numFmtId="0" fontId="2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xf>
    <xf numFmtId="212" fontId="22" fillId="0" borderId="10" xfId="42" applyNumberFormat="1" applyFont="1" applyFill="1" applyBorder="1" applyAlignment="1">
      <alignment horizontal="right" vertical="center" wrapText="1"/>
    </xf>
    <xf numFmtId="0" fontId="29"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29" fillId="0" borderId="10" xfId="0" applyFont="1" applyBorder="1" applyAlignment="1">
      <alignment vertical="center" wrapText="1"/>
    </xf>
    <xf numFmtId="194" fontId="33" fillId="0" borderId="10" xfId="0" applyNumberFormat="1" applyFont="1" applyBorder="1" applyAlignment="1">
      <alignment horizontal="center" vertical="center" wrapText="1"/>
    </xf>
    <xf numFmtId="2" fontId="33" fillId="0" borderId="10" xfId="0" applyNumberFormat="1" applyFont="1" applyBorder="1" applyAlignment="1">
      <alignment horizontal="right" vertical="center" wrapText="1"/>
    </xf>
    <xf numFmtId="0" fontId="35" fillId="0" borderId="10" xfId="0" applyFont="1" applyBorder="1" applyAlignment="1">
      <alignment horizontal="right" vertical="center" wrapText="1"/>
    </xf>
    <xf numFmtId="0" fontId="22" fillId="0" borderId="10" xfId="0" applyFont="1" applyBorder="1" applyAlignment="1">
      <alignment vertical="center" wrapText="1"/>
    </xf>
    <xf numFmtId="0" fontId="19" fillId="0" borderId="10" xfId="0" applyFont="1" applyBorder="1" applyAlignment="1">
      <alignment horizontal="center" vertical="center" wrapText="1"/>
    </xf>
    <xf numFmtId="0" fontId="33" fillId="0" borderId="10" xfId="0" applyFont="1" applyBorder="1" applyAlignment="1">
      <alignment horizontal="right" vertical="center" wrapText="1"/>
    </xf>
    <xf numFmtId="0" fontId="23" fillId="0" borderId="10" xfId="0" applyFont="1" applyBorder="1" applyAlignment="1">
      <alignment horizontal="center" vertical="center" wrapText="1"/>
    </xf>
    <xf numFmtId="0" fontId="23" fillId="0" borderId="10" xfId="0" applyFont="1" applyBorder="1" applyAlignment="1">
      <alignment vertical="center" wrapText="1"/>
    </xf>
    <xf numFmtId="2" fontId="35" fillId="0" borderId="10" xfId="0" applyNumberFormat="1" applyFont="1" applyBorder="1" applyAlignment="1">
      <alignment horizontal="right" vertical="center" wrapText="1"/>
    </xf>
    <xf numFmtId="0" fontId="2" fillId="0" borderId="10" xfId="0" applyFont="1" applyBorder="1" applyAlignment="1">
      <alignment vertical="center"/>
    </xf>
    <xf numFmtId="0" fontId="11" fillId="33" borderId="10" xfId="0" applyFont="1" applyFill="1" applyBorder="1" applyAlignment="1">
      <alignment horizontal="center" vertical="center" wrapText="1"/>
    </xf>
    <xf numFmtId="194" fontId="33" fillId="0" borderId="10" xfId="0" applyNumberFormat="1" applyFont="1" applyBorder="1" applyAlignment="1">
      <alignment vertical="center" wrapText="1"/>
    </xf>
    <xf numFmtId="194" fontId="22" fillId="0" borderId="10" xfId="0" applyNumberFormat="1" applyFont="1" applyBorder="1" applyAlignment="1">
      <alignment vertical="center" wrapText="1"/>
    </xf>
    <xf numFmtId="194" fontId="35" fillId="0" borderId="10" xfId="0" applyNumberFormat="1" applyFont="1" applyBorder="1" applyAlignment="1">
      <alignment horizontal="center" vertical="center" wrapText="1"/>
    </xf>
    <xf numFmtId="194" fontId="22" fillId="0" borderId="10" xfId="0" applyNumberFormat="1" applyFont="1" applyBorder="1" applyAlignment="1">
      <alignment horizontal="center" vertical="center" wrapText="1"/>
    </xf>
    <xf numFmtId="194" fontId="35" fillId="0" borderId="10" xfId="42" applyNumberFormat="1" applyFont="1" applyBorder="1" applyAlignment="1">
      <alignment horizontal="center" vertical="center" wrapText="1"/>
    </xf>
    <xf numFmtId="0" fontId="35" fillId="0" borderId="10" xfId="0" applyFont="1" applyBorder="1" applyAlignment="1">
      <alignment horizontal="center" vertical="center" wrapText="1"/>
    </xf>
    <xf numFmtId="194" fontId="35" fillId="0" borderId="10" xfId="42" applyNumberFormat="1" applyFont="1" applyBorder="1" applyAlignment="1">
      <alignment horizontal="right" vertical="center" wrapText="1"/>
    </xf>
    <xf numFmtId="0" fontId="7" fillId="0" borderId="10" xfId="0" applyFont="1" applyBorder="1" applyAlignment="1">
      <alignment horizontal="left" vertical="center" wrapText="1"/>
    </xf>
    <xf numFmtId="0" fontId="21" fillId="0" borderId="0" xfId="67" applyFont="1" applyAlignment="1">
      <alignment horizontal="left" vertical="center"/>
      <protection/>
    </xf>
    <xf numFmtId="0" fontId="10" fillId="0" borderId="0" xfId="0" applyFont="1" applyAlignment="1">
      <alignment vertical="center"/>
    </xf>
    <xf numFmtId="0" fontId="10" fillId="33" borderId="0" xfId="0" applyFont="1" applyFill="1" applyAlignment="1">
      <alignment vertical="center"/>
    </xf>
    <xf numFmtId="0" fontId="12" fillId="0" borderId="0" xfId="0" applyFont="1" applyAlignment="1">
      <alignment vertical="center"/>
    </xf>
    <xf numFmtId="0" fontId="18" fillId="33" borderId="0" xfId="0" applyFont="1" applyFill="1" applyAlignment="1">
      <alignment horizontal="right" vertical="center"/>
    </xf>
    <xf numFmtId="208" fontId="11" fillId="33" borderId="10" xfId="0" applyNumberFormat="1" applyFont="1" applyFill="1" applyBorder="1" applyAlignment="1">
      <alignment horizontal="center" vertical="center" wrapText="1"/>
    </xf>
    <xf numFmtId="0" fontId="16" fillId="0" borderId="0" xfId="0" applyFont="1" applyAlignment="1">
      <alignment vertical="center"/>
    </xf>
    <xf numFmtId="208" fontId="9" fillId="33" borderId="10" xfId="0" applyNumberFormat="1" applyFont="1" applyFill="1" applyBorder="1" applyAlignment="1">
      <alignment horizontal="center" vertical="center" wrapText="1"/>
    </xf>
    <xf numFmtId="206" fontId="10" fillId="0" borderId="0" xfId="0" applyNumberFormat="1" applyFont="1" applyAlignment="1">
      <alignment vertical="center"/>
    </xf>
    <xf numFmtId="194" fontId="3" fillId="0" borderId="0" xfId="42" applyNumberFormat="1" applyFont="1" applyAlignment="1">
      <alignment vertical="center"/>
    </xf>
    <xf numFmtId="179" fontId="8" fillId="0" borderId="0" xfId="42" applyFont="1" applyAlignment="1">
      <alignment vertical="center"/>
    </xf>
    <xf numFmtId="206" fontId="9" fillId="33" borderId="10" xfId="0" applyNumberFormat="1" applyFont="1" applyFill="1" applyBorder="1" applyAlignment="1">
      <alignment horizontal="center" vertical="center" wrapText="1"/>
    </xf>
    <xf numFmtId="206" fontId="9" fillId="33" borderId="10" xfId="0" applyNumberFormat="1" applyFont="1" applyFill="1" applyBorder="1" applyAlignment="1">
      <alignment vertical="center" wrapText="1"/>
    </xf>
    <xf numFmtId="0" fontId="10" fillId="33" borderId="10" xfId="0" applyFont="1" applyFill="1" applyBorder="1" applyAlignment="1">
      <alignment vertical="center"/>
    </xf>
    <xf numFmtId="208" fontId="11" fillId="33" borderId="10" xfId="0" applyNumberFormat="1" applyFont="1" applyFill="1" applyBorder="1" applyAlignment="1">
      <alignment horizontal="right" vertical="center" wrapText="1"/>
    </xf>
    <xf numFmtId="208" fontId="9" fillId="33" borderId="10" xfId="0" applyNumberFormat="1" applyFont="1" applyFill="1" applyBorder="1" applyAlignment="1">
      <alignment horizontal="right" vertical="center" wrapText="1"/>
    </xf>
    <xf numFmtId="0" fontId="34" fillId="0" borderId="10" xfId="0" applyFont="1" applyBorder="1" applyAlignment="1">
      <alignment horizontal="center" vertical="center" wrapText="1"/>
    </xf>
    <xf numFmtId="0" fontId="34" fillId="33" borderId="10" xfId="0" applyFont="1" applyFill="1" applyBorder="1" applyAlignment="1">
      <alignment horizontal="center" vertical="center" wrapText="1"/>
    </xf>
    <xf numFmtId="0" fontId="34" fillId="0" borderId="0" xfId="0" applyFont="1" applyAlignment="1">
      <alignment vertical="center"/>
    </xf>
    <xf numFmtId="0" fontId="31" fillId="0" borderId="0" xfId="0" applyFont="1" applyAlignment="1">
      <alignment horizontal="center" vertical="center"/>
    </xf>
    <xf numFmtId="0" fontId="3" fillId="0" borderId="10" xfId="0" applyFont="1" applyBorder="1" applyAlignment="1">
      <alignment vertical="center"/>
    </xf>
    <xf numFmtId="186" fontId="2" fillId="0" borderId="10" xfId="0" applyNumberFormat="1"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horizontal="center" vertical="center"/>
    </xf>
    <xf numFmtId="186" fontId="3" fillId="0" borderId="10" xfId="0" applyNumberFormat="1" applyFont="1" applyBorder="1" applyAlignment="1">
      <alignment vertical="center"/>
    </xf>
    <xf numFmtId="194" fontId="3" fillId="0" borderId="10" xfId="0" applyNumberFormat="1" applyFont="1" applyBorder="1" applyAlignment="1">
      <alignment vertical="center"/>
    </xf>
    <xf numFmtId="212" fontId="3" fillId="0" borderId="10" xfId="46" applyNumberFormat="1" applyFont="1" applyBorder="1" applyAlignment="1">
      <alignment vertical="center"/>
    </xf>
    <xf numFmtId="212" fontId="3" fillId="0" borderId="10" xfId="46" applyNumberFormat="1" applyFont="1" applyFill="1" applyBorder="1" applyAlignment="1">
      <alignment vertical="center"/>
    </xf>
    <xf numFmtId="0" fontId="3" fillId="0" borderId="0" xfId="0" applyFont="1" applyAlignment="1">
      <alignment horizontal="right" vertical="center"/>
    </xf>
    <xf numFmtId="0" fontId="40" fillId="0" borderId="0" xfId="0" applyFont="1" applyAlignment="1">
      <alignment vertical="center"/>
    </xf>
    <xf numFmtId="0" fontId="39" fillId="0" borderId="0" xfId="0" applyFont="1" applyAlignment="1">
      <alignment vertical="center"/>
    </xf>
    <xf numFmtId="0" fontId="41" fillId="0" borderId="0" xfId="0" applyFont="1" applyAlignment="1">
      <alignment vertical="center"/>
    </xf>
    <xf numFmtId="0" fontId="23" fillId="0" borderId="10" xfId="0" applyFont="1" applyBorder="1" applyAlignment="1">
      <alignment vertical="center"/>
    </xf>
    <xf numFmtId="0" fontId="42" fillId="0" borderId="11" xfId="0" applyFont="1" applyBorder="1" applyAlignment="1">
      <alignment horizontal="left" vertical="center" wrapText="1"/>
    </xf>
    <xf numFmtId="0" fontId="44" fillId="0" borderId="0" xfId="0" applyFont="1" applyAlignment="1">
      <alignment/>
    </xf>
    <xf numFmtId="0" fontId="30" fillId="0" borderId="11" xfId="0" applyFont="1" applyBorder="1" applyAlignment="1">
      <alignment horizontal="left" vertical="center" wrapText="1"/>
    </xf>
    <xf numFmtId="3" fontId="30" fillId="0" borderId="10" xfId="0" applyNumberFormat="1" applyFont="1" applyBorder="1" applyAlignment="1">
      <alignment vertical="center" wrapText="1"/>
    </xf>
    <xf numFmtId="214" fontId="3" fillId="0" borderId="0" xfId="42" applyNumberFormat="1" applyFont="1" applyFill="1" applyAlignment="1">
      <alignment vertical="center"/>
    </xf>
    <xf numFmtId="214" fontId="8" fillId="0" borderId="0" xfId="42" applyNumberFormat="1" applyFont="1" applyFill="1" applyAlignment="1">
      <alignment vertical="center"/>
    </xf>
    <xf numFmtId="214" fontId="6" fillId="0" borderId="0" xfId="42" applyNumberFormat="1" applyFont="1" applyFill="1" applyAlignment="1">
      <alignment horizontal="right" vertical="center"/>
    </xf>
    <xf numFmtId="3" fontId="7" fillId="0" borderId="10" xfId="47" applyNumberFormat="1" applyFont="1" applyFill="1" applyBorder="1" applyAlignment="1">
      <alignment vertical="center"/>
    </xf>
    <xf numFmtId="9" fontId="7" fillId="0" borderId="11" xfId="75" applyFont="1" applyFill="1" applyBorder="1" applyAlignment="1">
      <alignment vertical="center"/>
    </xf>
    <xf numFmtId="0" fontId="17" fillId="0" borderId="0" xfId="0" applyFont="1" applyAlignment="1">
      <alignment vertical="center"/>
    </xf>
    <xf numFmtId="0" fontId="30"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horizontal="left" vertical="center"/>
    </xf>
    <xf numFmtId="0" fontId="6" fillId="0" borderId="0" xfId="0" applyFont="1" applyFill="1" applyAlignment="1">
      <alignment vertical="center"/>
    </xf>
    <xf numFmtId="0" fontId="15" fillId="0" borderId="0" xfId="0" applyFont="1" applyFill="1" applyAlignment="1">
      <alignment horizontal="right" vertical="center"/>
    </xf>
    <xf numFmtId="0" fontId="2" fillId="0" borderId="10" xfId="0" applyFont="1" applyFill="1" applyBorder="1" applyAlignment="1">
      <alignment horizontal="center" vertical="center" wrapText="1"/>
    </xf>
    <xf numFmtId="0" fontId="3" fillId="0" borderId="0" xfId="0" applyFont="1" applyFill="1" applyAlignment="1">
      <alignment vertical="center"/>
    </xf>
    <xf numFmtId="0" fontId="3" fillId="0" borderId="10" xfId="0" applyFont="1" applyFill="1" applyBorder="1" applyAlignment="1">
      <alignment horizontal="center" vertical="center" wrapText="1"/>
    </xf>
    <xf numFmtId="0" fontId="2" fillId="0" borderId="10" xfId="0" applyFont="1" applyFill="1" applyBorder="1" applyAlignment="1">
      <alignment vertical="center" wrapText="1"/>
    </xf>
    <xf numFmtId="2" fontId="28" fillId="0" borderId="10" xfId="0" applyNumberFormat="1" applyFont="1" applyFill="1" applyBorder="1" applyAlignment="1">
      <alignment horizontal="center" vertical="center" wrapText="1"/>
    </xf>
    <xf numFmtId="206" fontId="3" fillId="0" borderId="0" xfId="0" applyNumberFormat="1" applyFont="1" applyFill="1" applyAlignment="1">
      <alignment vertical="center"/>
    </xf>
    <xf numFmtId="206" fontId="2" fillId="0" borderId="0" xfId="0" applyNumberFormat="1" applyFont="1" applyFill="1" applyAlignment="1">
      <alignment vertical="center"/>
    </xf>
    <xf numFmtId="0" fontId="3" fillId="0" borderId="10" xfId="0" applyFont="1" applyFill="1" applyBorder="1" applyAlignment="1">
      <alignment vertical="center" wrapText="1"/>
    </xf>
    <xf numFmtId="0" fontId="38" fillId="0" borderId="10" xfId="63" applyFont="1" applyFill="1" applyBorder="1" applyAlignment="1">
      <alignment vertical="center" wrapText="1"/>
      <protection/>
    </xf>
    <xf numFmtId="0" fontId="38" fillId="0" borderId="10" xfId="0" applyFont="1" applyFill="1" applyBorder="1" applyAlignment="1">
      <alignment vertical="center" wrapText="1"/>
    </xf>
    <xf numFmtId="2" fontId="8"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9" fontId="4" fillId="0" borderId="10" xfId="0" applyNumberFormat="1" applyFont="1" applyFill="1" applyBorder="1" applyAlignment="1">
      <alignment horizontal="left" vertical="center" wrapText="1"/>
    </xf>
    <xf numFmtId="2" fontId="38" fillId="0" borderId="10" xfId="0" applyNumberFormat="1" applyFont="1" applyFill="1" applyBorder="1" applyAlignment="1">
      <alignment horizontal="center" vertical="center" wrapText="1"/>
    </xf>
    <xf numFmtId="206" fontId="4" fillId="0" borderId="0" xfId="0" applyNumberFormat="1" applyFont="1" applyFill="1" applyAlignment="1">
      <alignment vertical="center"/>
    </xf>
    <xf numFmtId="0" fontId="4" fillId="0" borderId="0" xfId="0" applyFont="1" applyFill="1" applyAlignment="1">
      <alignment vertical="center"/>
    </xf>
    <xf numFmtId="9" fontId="3"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vertical="center"/>
    </xf>
    <xf numFmtId="0" fontId="38" fillId="0" borderId="10" xfId="0" applyFont="1" applyFill="1" applyBorder="1" applyAlignment="1">
      <alignment horizontal="center" vertical="center" wrapText="1"/>
    </xf>
    <xf numFmtId="2" fontId="50" fillId="0" borderId="10" xfId="0" applyNumberFormat="1" applyFont="1" applyFill="1" applyBorder="1" applyAlignment="1">
      <alignment horizontal="center" vertical="center" wrapText="1"/>
    </xf>
    <xf numFmtId="0" fontId="38" fillId="0" borderId="0" xfId="0" applyFont="1" applyFill="1" applyAlignment="1">
      <alignment vertical="center"/>
    </xf>
    <xf numFmtId="0" fontId="32" fillId="0" borderId="0" xfId="0" applyFont="1" applyAlignment="1">
      <alignment vertical="center" wrapText="1"/>
    </xf>
    <xf numFmtId="0" fontId="34" fillId="0" borderId="10" xfId="0" applyFont="1" applyFill="1" applyBorder="1" applyAlignment="1">
      <alignment horizontal="center" vertical="center" wrapText="1"/>
    </xf>
    <xf numFmtId="179" fontId="34" fillId="0" borderId="0" xfId="47" applyFont="1" applyFill="1" applyAlignment="1">
      <alignment vertical="center"/>
    </xf>
    <xf numFmtId="0" fontId="34" fillId="0" borderId="0" xfId="0" applyFont="1" applyFill="1" applyAlignment="1">
      <alignment vertical="center"/>
    </xf>
    <xf numFmtId="0" fontId="7" fillId="34" borderId="0" xfId="0" applyFont="1" applyFill="1" applyAlignment="1">
      <alignment horizontal="right" vertical="center"/>
    </xf>
    <xf numFmtId="194" fontId="7" fillId="34" borderId="10" xfId="47" applyNumberFormat="1" applyFont="1" applyFill="1" applyBorder="1" applyAlignment="1">
      <alignment horizontal="center" vertical="center" wrapText="1"/>
    </xf>
    <xf numFmtId="0" fontId="30"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49" fontId="7" fillId="34" borderId="10" xfId="47" applyNumberFormat="1" applyFont="1" applyFill="1" applyBorder="1" applyAlignment="1">
      <alignment horizontal="center" vertical="center" wrapText="1"/>
    </xf>
    <xf numFmtId="49" fontId="30" fillId="34" borderId="10" xfId="0" applyNumberFormat="1"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10" xfId="0" applyFont="1" applyFill="1" applyBorder="1" applyAlignment="1">
      <alignment vertical="center" wrapText="1"/>
    </xf>
    <xf numFmtId="2" fontId="30"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2" fontId="7" fillId="34" borderId="10"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10" xfId="0" applyFont="1" applyFill="1" applyBorder="1" applyAlignment="1">
      <alignment vertical="center" wrapText="1"/>
    </xf>
    <xf numFmtId="194" fontId="15" fillId="34" borderId="10" xfId="47" applyNumberFormat="1" applyFont="1" applyFill="1" applyBorder="1" applyAlignment="1">
      <alignment horizontal="center" vertical="center" wrapText="1"/>
    </xf>
    <xf numFmtId="2"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194" fontId="6" fillId="34" borderId="10" xfId="47" applyNumberFormat="1" applyFont="1" applyFill="1" applyBorder="1" applyAlignment="1">
      <alignment horizontal="center" vertical="center" wrapText="1"/>
    </xf>
    <xf numFmtId="0" fontId="25" fillId="34" borderId="10" xfId="0" applyFont="1" applyFill="1" applyBorder="1" applyAlignment="1">
      <alignment horizontal="center" vertical="center" wrapText="1"/>
    </xf>
    <xf numFmtId="194" fontId="25" fillId="34" borderId="10" xfId="47" applyNumberFormat="1" applyFont="1" applyFill="1" applyBorder="1" applyAlignment="1">
      <alignment horizontal="center" vertical="center" wrapText="1"/>
    </xf>
    <xf numFmtId="0" fontId="6" fillId="34" borderId="10" xfId="0" applyFont="1" applyFill="1" applyBorder="1" applyAlignment="1" quotePrefix="1">
      <alignment horizontal="center" vertical="center" wrapText="1"/>
    </xf>
    <xf numFmtId="0" fontId="6" fillId="34" borderId="10" xfId="0" applyFont="1" applyFill="1" applyBorder="1" applyAlignment="1" quotePrefix="1">
      <alignment vertical="center" wrapText="1"/>
    </xf>
    <xf numFmtId="0" fontId="6" fillId="34" borderId="10" xfId="68" applyFont="1" applyFill="1" applyBorder="1" applyAlignment="1" quotePrefix="1">
      <alignment horizontal="left" vertical="center" wrapText="1"/>
      <protection/>
    </xf>
    <xf numFmtId="0" fontId="7" fillId="34" borderId="10" xfId="0" applyFont="1" applyFill="1" applyBorder="1" applyAlignment="1" quotePrefix="1">
      <alignment horizontal="center" vertical="center" wrapText="1"/>
    </xf>
    <xf numFmtId="2" fontId="15" fillId="34" borderId="10" xfId="0" applyNumberFormat="1" applyFont="1" applyFill="1" applyBorder="1" applyAlignment="1">
      <alignment horizontal="center" vertical="center" wrapText="1"/>
    </xf>
    <xf numFmtId="0" fontId="15" fillId="34" borderId="10" xfId="0" applyFont="1" applyFill="1" applyBorder="1" applyAlignment="1" quotePrefix="1">
      <alignment horizontal="center" vertical="center" wrapText="1"/>
    </xf>
    <xf numFmtId="194" fontId="55" fillId="34" borderId="10" xfId="47" applyNumberFormat="1" applyFont="1" applyFill="1" applyBorder="1" applyAlignment="1">
      <alignment horizontal="center" vertical="center" wrapText="1"/>
    </xf>
    <xf numFmtId="0" fontId="7" fillId="34" borderId="10" xfId="68" applyFont="1" applyFill="1" applyBorder="1" applyAlignment="1" quotePrefix="1">
      <alignment horizontal="left" vertical="center" wrapText="1"/>
      <protection/>
    </xf>
    <xf numFmtId="194" fontId="42" fillId="34" borderId="10" xfId="47" applyNumberFormat="1" applyFont="1" applyFill="1" applyBorder="1" applyAlignment="1">
      <alignment horizontal="center" vertical="center" wrapText="1"/>
    </xf>
    <xf numFmtId="2" fontId="42" fillId="34" borderId="10" xfId="0" applyNumberFormat="1"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6" fillId="34" borderId="10" xfId="0" applyFont="1" applyFill="1" applyBorder="1" applyAlignment="1">
      <alignment vertical="center" wrapText="1"/>
    </xf>
    <xf numFmtId="0" fontId="9" fillId="34" borderId="10" xfId="0" applyFont="1" applyFill="1" applyBorder="1" applyAlignment="1">
      <alignment horizontal="center" vertical="center" wrapText="1"/>
    </xf>
    <xf numFmtId="0" fontId="17" fillId="34" borderId="10" xfId="0" applyFont="1" applyFill="1" applyBorder="1" applyAlignment="1">
      <alignment vertical="center" wrapText="1"/>
    </xf>
    <xf numFmtId="0" fontId="9" fillId="34" borderId="10" xfId="0" applyFont="1" applyFill="1" applyBorder="1" applyAlignment="1">
      <alignment vertical="center" wrapText="1"/>
    </xf>
    <xf numFmtId="0" fontId="17" fillId="34" borderId="10" xfId="0" applyFont="1" applyFill="1" applyBorder="1" applyAlignment="1">
      <alignment horizontal="center" vertical="center" wrapText="1"/>
    </xf>
    <xf numFmtId="0" fontId="9" fillId="34" borderId="10" xfId="0" applyFont="1" applyFill="1" applyBorder="1" applyAlignment="1" quotePrefix="1">
      <alignment vertical="center" wrapText="1"/>
    </xf>
    <xf numFmtId="0" fontId="11" fillId="34" borderId="10" xfId="68" applyFont="1" applyFill="1" applyBorder="1" applyAlignment="1">
      <alignment horizontal="left" vertical="center"/>
      <protection/>
    </xf>
    <xf numFmtId="3" fontId="11" fillId="34" borderId="10" xfId="70" applyNumberFormat="1" applyFont="1" applyFill="1" applyBorder="1" applyAlignment="1">
      <alignment horizontal="left" vertical="center" wrapText="1"/>
      <protection/>
    </xf>
    <xf numFmtId="0" fontId="11" fillId="34" borderId="10" xfId="0" applyFont="1" applyFill="1" applyBorder="1" applyAlignment="1">
      <alignment horizontal="left" vertical="center" wrapText="1"/>
    </xf>
    <xf numFmtId="194" fontId="44" fillId="34" borderId="0" xfId="47" applyNumberFormat="1" applyFont="1" applyFill="1" applyAlignment="1">
      <alignment vertical="center"/>
    </xf>
    <xf numFmtId="0" fontId="44" fillId="34" borderId="0" xfId="0" applyFont="1" applyFill="1" applyAlignment="1">
      <alignment vertical="center"/>
    </xf>
    <xf numFmtId="0" fontId="6" fillId="34" borderId="0" xfId="0" applyFont="1" applyFill="1" applyAlignment="1">
      <alignment vertical="center"/>
    </xf>
    <xf numFmtId="194" fontId="6" fillId="34" borderId="0" xfId="47" applyNumberFormat="1" applyFont="1" applyFill="1" applyAlignment="1">
      <alignment vertical="center"/>
    </xf>
    <xf numFmtId="194" fontId="6" fillId="34" borderId="0" xfId="0" applyNumberFormat="1" applyFont="1" applyFill="1" applyAlignment="1">
      <alignment vertical="center"/>
    </xf>
    <xf numFmtId="194" fontId="7" fillId="34" borderId="0" xfId="47" applyNumberFormat="1" applyFont="1" applyFill="1" applyAlignment="1">
      <alignment vertical="center"/>
    </xf>
    <xf numFmtId="0" fontId="51" fillId="34" borderId="0" xfId="0" applyFont="1" applyFill="1" applyAlignment="1">
      <alignment vertical="center"/>
    </xf>
    <xf numFmtId="0" fontId="52" fillId="34" borderId="0" xfId="0" applyFont="1" applyFill="1" applyAlignment="1">
      <alignment vertical="center"/>
    </xf>
    <xf numFmtId="0" fontId="53" fillId="34" borderId="0" xfId="0" applyFont="1" applyFill="1" applyAlignment="1">
      <alignment vertical="center"/>
    </xf>
    <xf numFmtId="0" fontId="56" fillId="34" borderId="0" xfId="0" applyFont="1" applyFill="1" applyAlignment="1">
      <alignment vertical="center"/>
    </xf>
    <xf numFmtId="0" fontId="57" fillId="34" borderId="0" xfId="0" applyFont="1" applyFill="1" applyAlignment="1">
      <alignment vertical="center"/>
    </xf>
    <xf numFmtId="0" fontId="48" fillId="34" borderId="0" xfId="0" applyFont="1" applyFill="1" applyAlignment="1">
      <alignment vertical="center"/>
    </xf>
    <xf numFmtId="212" fontId="11" fillId="33" borderId="10" xfId="42" applyNumberFormat="1" applyFont="1" applyFill="1" applyBorder="1" applyAlignment="1">
      <alignment horizontal="right" vertical="center" wrapText="1"/>
    </xf>
    <xf numFmtId="212" fontId="9" fillId="33" borderId="10" xfId="42" applyNumberFormat="1" applyFont="1" applyFill="1" applyBorder="1" applyAlignment="1">
      <alignment horizontal="right" vertical="center" wrapText="1"/>
    </xf>
    <xf numFmtId="212" fontId="11" fillId="33" borderId="10" xfId="42" applyNumberFormat="1" applyFont="1" applyFill="1" applyBorder="1" applyAlignment="1">
      <alignment horizontal="center" vertical="center" wrapText="1"/>
    </xf>
    <xf numFmtId="212" fontId="9" fillId="33" borderId="10" xfId="42" applyNumberFormat="1" applyFont="1" applyFill="1" applyBorder="1" applyAlignment="1">
      <alignment horizontal="center" vertical="center" wrapText="1"/>
    </xf>
    <xf numFmtId="212" fontId="10" fillId="33" borderId="10" xfId="42" applyNumberFormat="1" applyFont="1" applyFill="1" applyBorder="1" applyAlignment="1">
      <alignment horizontal="center" vertical="center"/>
    </xf>
    <xf numFmtId="212" fontId="16" fillId="33" borderId="10" xfId="42" applyNumberFormat="1" applyFont="1" applyFill="1" applyBorder="1" applyAlignment="1">
      <alignment horizontal="center" vertical="center"/>
    </xf>
    <xf numFmtId="212" fontId="28" fillId="0" borderId="10" xfId="0" applyNumberFormat="1" applyFont="1" applyFill="1" applyBorder="1" applyAlignment="1">
      <alignment horizontal="right" vertical="center" wrapText="1"/>
    </xf>
    <xf numFmtId="212" fontId="8" fillId="0" borderId="10" xfId="0" applyNumberFormat="1" applyFont="1" applyFill="1" applyBorder="1" applyAlignment="1">
      <alignment horizontal="right" vertical="center" wrapText="1"/>
    </xf>
    <xf numFmtId="212" fontId="49" fillId="0" borderId="10" xfId="0" applyNumberFormat="1" applyFont="1" applyFill="1" applyBorder="1" applyAlignment="1">
      <alignment horizontal="right" vertical="center" wrapText="1"/>
    </xf>
    <xf numFmtId="212" fontId="38" fillId="0" borderId="10" xfId="0" applyNumberFormat="1" applyFont="1" applyFill="1" applyBorder="1" applyAlignment="1">
      <alignment horizontal="right" vertical="center" wrapText="1"/>
    </xf>
    <xf numFmtId="212" fontId="38" fillId="0" borderId="11" xfId="47" applyNumberFormat="1" applyFont="1" applyFill="1" applyBorder="1" applyAlignment="1">
      <alignment vertical="center"/>
    </xf>
    <xf numFmtId="212" fontId="28" fillId="0" borderId="10" xfId="0" applyNumberFormat="1" applyFont="1" applyFill="1" applyBorder="1" applyAlignment="1">
      <alignment vertical="center" wrapText="1"/>
    </xf>
    <xf numFmtId="0" fontId="16"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221" fontId="16" fillId="0" borderId="10" xfId="0" applyNumberFormat="1" applyFont="1" applyFill="1" applyBorder="1" applyAlignment="1">
      <alignment horizontal="righ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221" fontId="10" fillId="0" borderId="10" xfId="0" applyNumberFormat="1" applyFont="1" applyFill="1" applyBorder="1" applyAlignment="1">
      <alignment horizontal="right" vertical="center" wrapText="1"/>
    </xf>
    <xf numFmtId="0" fontId="9" fillId="0" borderId="10" xfId="0" applyFont="1" applyFill="1" applyBorder="1" applyAlignment="1">
      <alignment vertical="center" wrapText="1"/>
    </xf>
    <xf numFmtId="0" fontId="30" fillId="0" borderId="0" xfId="0" applyFont="1" applyFill="1" applyAlignment="1">
      <alignment/>
    </xf>
    <xf numFmtId="0" fontId="6" fillId="0" borderId="0" xfId="0" applyFont="1" applyFill="1" applyAlignment="1">
      <alignment/>
    </xf>
    <xf numFmtId="37" fontId="6" fillId="0" borderId="0" xfId="0" applyNumberFormat="1" applyFont="1" applyFill="1" applyAlignment="1">
      <alignment/>
    </xf>
    <xf numFmtId="0" fontId="7" fillId="0" borderId="0" xfId="0" applyFont="1" applyFill="1" applyAlignment="1">
      <alignment horizontal="right" vertical="center"/>
    </xf>
    <xf numFmtId="0" fontId="42" fillId="0" borderId="0" xfId="0" applyFont="1" applyFill="1" applyAlignment="1">
      <alignment/>
    </xf>
    <xf numFmtId="0" fontId="15" fillId="0" borderId="0" xfId="0" applyFont="1" applyFill="1" applyAlignment="1">
      <alignment/>
    </xf>
    <xf numFmtId="212" fontId="11" fillId="0" borderId="10" xfId="0" applyNumberFormat="1" applyFont="1" applyFill="1" applyBorder="1" applyAlignment="1">
      <alignment horizontal="right" vertical="center" wrapText="1"/>
    </xf>
    <xf numFmtId="212" fontId="9" fillId="0" borderId="10" xfId="0" applyNumberFormat="1" applyFont="1" applyFill="1" applyBorder="1" applyAlignment="1">
      <alignment horizontal="right" vertical="center" wrapText="1"/>
    </xf>
    <xf numFmtId="212" fontId="9" fillId="0" borderId="10" xfId="0" applyNumberFormat="1" applyFont="1" applyFill="1" applyBorder="1" applyAlignment="1">
      <alignment horizontal="right" vertical="center"/>
    </xf>
    <xf numFmtId="212" fontId="9" fillId="0" borderId="10" xfId="47" applyNumberFormat="1" applyFont="1" applyFill="1" applyBorder="1" applyAlignment="1">
      <alignment horizontal="right" vertical="center" wrapText="1"/>
    </xf>
    <xf numFmtId="212" fontId="11" fillId="0" borderId="10" xfId="47" applyNumberFormat="1" applyFont="1" applyFill="1" applyBorder="1" applyAlignment="1">
      <alignment horizontal="right" vertical="center" wrapText="1"/>
    </xf>
    <xf numFmtId="212" fontId="7" fillId="34" borderId="10" xfId="47" applyNumberFormat="1" applyFont="1" applyFill="1" applyBorder="1" applyAlignment="1">
      <alignment horizontal="center" vertical="center" wrapText="1"/>
    </xf>
    <xf numFmtId="212" fontId="15" fillId="34" borderId="10" xfId="47" applyNumberFormat="1" applyFont="1" applyFill="1" applyBorder="1" applyAlignment="1">
      <alignment horizontal="center" vertical="center" wrapText="1"/>
    </xf>
    <xf numFmtId="212" fontId="15" fillId="34" borderId="0" xfId="0" applyNumberFormat="1" applyFont="1" applyFill="1" applyBorder="1" applyAlignment="1">
      <alignment horizontal="center" vertical="center" wrapText="1"/>
    </xf>
    <xf numFmtId="212" fontId="6" fillId="34" borderId="10" xfId="47" applyNumberFormat="1" applyFont="1" applyFill="1" applyBorder="1" applyAlignment="1">
      <alignment horizontal="center" vertical="center" wrapText="1"/>
    </xf>
    <xf numFmtId="212" fontId="25" fillId="34" borderId="10" xfId="47" applyNumberFormat="1" applyFont="1" applyFill="1" applyBorder="1" applyAlignment="1">
      <alignment horizontal="center" vertical="center" wrapText="1"/>
    </xf>
    <xf numFmtId="212" fontId="6" fillId="34" borderId="10" xfId="0" applyNumberFormat="1" applyFont="1" applyFill="1" applyBorder="1" applyAlignment="1">
      <alignment vertical="center" wrapText="1"/>
    </xf>
    <xf numFmtId="212" fontId="54" fillId="34" borderId="10" xfId="47" applyNumberFormat="1" applyFont="1" applyFill="1" applyBorder="1" applyAlignment="1">
      <alignment horizontal="center" vertical="center" wrapText="1"/>
    </xf>
    <xf numFmtId="212" fontId="55" fillId="34" borderId="10" xfId="47" applyNumberFormat="1" applyFont="1" applyFill="1" applyBorder="1" applyAlignment="1">
      <alignment horizontal="center" vertical="center" wrapText="1"/>
    </xf>
    <xf numFmtId="212" fontId="6" fillId="34" borderId="10" xfId="47" applyNumberFormat="1" applyFont="1" applyFill="1" applyBorder="1" applyAlignment="1">
      <alignment vertical="center"/>
    </xf>
    <xf numFmtId="212" fontId="6" fillId="34" borderId="10" xfId="47" applyNumberFormat="1" applyFont="1" applyFill="1" applyBorder="1" applyAlignment="1">
      <alignment horizontal="right" vertical="center" wrapText="1"/>
    </xf>
    <xf numFmtId="0" fontId="37" fillId="34" borderId="0" xfId="0" applyFont="1" applyFill="1" applyAlignment="1">
      <alignment vertical="center"/>
    </xf>
    <xf numFmtId="0" fontId="30" fillId="34" borderId="0" xfId="0" applyFont="1" applyFill="1" applyAlignment="1">
      <alignment vertical="center"/>
    </xf>
    <xf numFmtId="0" fontId="58" fillId="34" borderId="0" xfId="0" applyFont="1" applyFill="1" applyAlignment="1">
      <alignment vertical="center"/>
    </xf>
    <xf numFmtId="2" fontId="37" fillId="34" borderId="0" xfId="0" applyNumberFormat="1" applyFont="1" applyFill="1" applyAlignment="1">
      <alignment vertical="center"/>
    </xf>
    <xf numFmtId="4" fontId="37" fillId="34" borderId="0" xfId="0" applyNumberFormat="1" applyFont="1" applyFill="1" applyAlignment="1">
      <alignment vertical="center"/>
    </xf>
    <xf numFmtId="3" fontId="37" fillId="34" borderId="0" xfId="0" applyNumberFormat="1" applyFont="1" applyFill="1" applyAlignment="1">
      <alignment vertical="center"/>
    </xf>
    <xf numFmtId="0" fontId="2" fillId="34" borderId="10" xfId="0" applyFont="1" applyFill="1" applyBorder="1" applyAlignment="1">
      <alignment horizontal="center" vertical="center" wrapText="1"/>
    </xf>
    <xf numFmtId="0" fontId="30" fillId="34" borderId="10" xfId="0" applyFont="1" applyFill="1" applyBorder="1" applyAlignment="1">
      <alignment horizontal="center" vertical="center" wrapText="1"/>
    </xf>
    <xf numFmtId="0" fontId="59" fillId="34" borderId="0" xfId="0" applyFont="1" applyFill="1" applyAlignment="1">
      <alignment vertical="center"/>
    </xf>
    <xf numFmtId="0" fontId="2" fillId="34" borderId="10" xfId="0" applyFont="1" applyFill="1" applyBorder="1" applyAlignment="1">
      <alignment vertical="center" wrapText="1"/>
    </xf>
    <xf numFmtId="212" fontId="7" fillId="34" borderId="10" xfId="0" applyNumberFormat="1" applyFont="1" applyFill="1" applyBorder="1" applyAlignment="1">
      <alignment horizontal="right" vertical="center" wrapText="1"/>
    </xf>
    <xf numFmtId="2" fontId="2" fillId="34" borderId="10" xfId="0" applyNumberFormat="1" applyFont="1" applyFill="1" applyBorder="1" applyAlignment="1">
      <alignment horizontal="right" vertical="center" wrapText="1"/>
    </xf>
    <xf numFmtId="0" fontId="42" fillId="34" borderId="10" xfId="0" applyFont="1" applyFill="1" applyBorder="1" applyAlignment="1">
      <alignment horizontal="center" vertical="center" wrapText="1"/>
    </xf>
    <xf numFmtId="0" fontId="42" fillId="34" borderId="10" xfId="60" applyFont="1" applyFill="1" applyBorder="1" applyAlignment="1">
      <alignment vertical="center"/>
      <protection/>
    </xf>
    <xf numFmtId="212" fontId="42" fillId="34" borderId="10" xfId="0" applyNumberFormat="1" applyFont="1" applyFill="1" applyBorder="1" applyAlignment="1">
      <alignment horizontal="right" vertical="center" wrapText="1"/>
    </xf>
    <xf numFmtId="2" fontId="42" fillId="34" borderId="10" xfId="0" applyNumberFormat="1" applyFont="1" applyFill="1" applyBorder="1" applyAlignment="1">
      <alignment horizontal="right" vertical="center" wrapText="1"/>
    </xf>
    <xf numFmtId="0" fontId="60" fillId="34" borderId="0" xfId="0" applyFont="1" applyFill="1" applyAlignment="1">
      <alignment vertical="center"/>
    </xf>
    <xf numFmtId="0" fontId="42" fillId="34" borderId="10" xfId="60" applyFont="1" applyFill="1" applyBorder="1" applyAlignment="1">
      <alignment horizontal="center" vertical="center"/>
      <protection/>
    </xf>
    <xf numFmtId="212" fontId="42" fillId="34" borderId="10" xfId="47" applyNumberFormat="1" applyFont="1" applyFill="1" applyBorder="1" applyAlignment="1">
      <alignment horizontal="right" vertical="center" wrapText="1"/>
    </xf>
    <xf numFmtId="212" fontId="42" fillId="34" borderId="10" xfId="47" applyNumberFormat="1" applyFont="1" applyFill="1" applyBorder="1" applyAlignment="1">
      <alignment horizontal="right" vertical="center"/>
    </xf>
    <xf numFmtId="0" fontId="42" fillId="34" borderId="10" xfId="66" applyFont="1" applyFill="1" applyBorder="1" applyAlignment="1">
      <alignment vertical="center"/>
      <protection/>
    </xf>
    <xf numFmtId="212" fontId="42" fillId="34" borderId="10" xfId="64" applyNumberFormat="1" applyFont="1" applyFill="1" applyBorder="1" applyAlignment="1">
      <alignment horizontal="right" vertical="center"/>
      <protection/>
    </xf>
    <xf numFmtId="212" fontId="42" fillId="34" borderId="0" xfId="47" applyNumberFormat="1" applyFont="1" applyFill="1" applyAlignment="1">
      <alignment horizontal="right" vertical="center"/>
    </xf>
    <xf numFmtId="0" fontId="42" fillId="34" borderId="10" xfId="0" applyFont="1" applyFill="1" applyBorder="1" applyAlignment="1">
      <alignment vertical="center" wrapText="1"/>
    </xf>
    <xf numFmtId="0" fontId="42" fillId="34" borderId="10" xfId="0" applyFont="1" applyFill="1" applyBorder="1" applyAlignment="1">
      <alignment vertical="center"/>
    </xf>
    <xf numFmtId="0" fontId="42" fillId="34" borderId="10" xfId="0" applyFont="1" applyFill="1" applyBorder="1" applyAlignment="1">
      <alignment horizontal="left" vertical="center"/>
    </xf>
    <xf numFmtId="0" fontId="42" fillId="34" borderId="10" xfId="60" applyFont="1" applyFill="1" applyBorder="1" applyAlignment="1">
      <alignment horizontal="left" vertical="center" wrapText="1"/>
      <protection/>
    </xf>
    <xf numFmtId="0" fontId="42" fillId="34" borderId="10" xfId="69" applyFont="1" applyFill="1" applyBorder="1" applyAlignment="1">
      <alignment vertical="center"/>
      <protection/>
    </xf>
    <xf numFmtId="0" fontId="42" fillId="34" borderId="10" xfId="0" applyFont="1" applyFill="1" applyBorder="1" applyAlignment="1" quotePrefix="1">
      <alignment horizontal="left" vertical="center"/>
    </xf>
    <xf numFmtId="0" fontId="42" fillId="34" borderId="10" xfId="69" applyFont="1" applyFill="1" applyBorder="1" applyAlignment="1">
      <alignment horizontal="left" vertical="center"/>
      <protection/>
    </xf>
    <xf numFmtId="0" fontId="42" fillId="34" borderId="10" xfId="65" applyFont="1" applyFill="1" applyBorder="1" applyAlignment="1">
      <alignment horizontal="left" vertical="center" wrapText="1"/>
      <protection/>
    </xf>
    <xf numFmtId="194" fontId="42" fillId="34" borderId="10" xfId="47" applyNumberFormat="1" applyFont="1" applyFill="1" applyBorder="1" applyAlignment="1">
      <alignment vertical="center" wrapText="1"/>
    </xf>
    <xf numFmtId="0" fontId="28" fillId="34" borderId="10" xfId="0" applyFont="1" applyFill="1" applyBorder="1" applyAlignment="1">
      <alignment horizontal="center" vertical="center" wrapText="1"/>
    </xf>
    <xf numFmtId="0" fontId="28" fillId="34" borderId="10" xfId="0" applyFont="1" applyFill="1" applyBorder="1" applyAlignment="1">
      <alignment vertical="center" wrapText="1"/>
    </xf>
    <xf numFmtId="212" fontId="6" fillId="34" borderId="10" xfId="0" applyNumberFormat="1" applyFont="1" applyFill="1" applyBorder="1" applyAlignment="1">
      <alignment horizontal="right" vertical="center" wrapText="1"/>
    </xf>
    <xf numFmtId="212" fontId="8" fillId="34" borderId="10" xfId="0" applyNumberFormat="1" applyFont="1" applyFill="1" applyBorder="1" applyAlignment="1">
      <alignment horizontal="right" vertical="center" wrapText="1"/>
    </xf>
    <xf numFmtId="2" fontId="3" fillId="34" borderId="10" xfId="0" applyNumberFormat="1" applyFont="1" applyFill="1" applyBorder="1" applyAlignment="1">
      <alignment horizontal="right" vertical="center" wrapText="1"/>
    </xf>
    <xf numFmtId="0" fontId="61" fillId="34" borderId="0" xfId="0" applyFont="1" applyFill="1" applyAlignment="1">
      <alignment vertical="center"/>
    </xf>
    <xf numFmtId="212" fontId="7" fillId="34" borderId="10" xfId="47" applyNumberFormat="1" applyFont="1" applyFill="1" applyBorder="1" applyAlignment="1">
      <alignment horizontal="right" vertical="center" wrapText="1"/>
    </xf>
    <xf numFmtId="212" fontId="28" fillId="34" borderId="10" xfId="0" applyNumberFormat="1" applyFont="1" applyFill="1" applyBorder="1" applyAlignment="1">
      <alignment horizontal="right" vertical="center" wrapText="1"/>
    </xf>
    <xf numFmtId="212" fontId="2" fillId="0" borderId="10" xfId="0" applyNumberFormat="1" applyFont="1" applyBorder="1" applyAlignment="1">
      <alignment vertical="center"/>
    </xf>
    <xf numFmtId="212" fontId="3" fillId="0" borderId="10" xfId="0" applyNumberFormat="1" applyFont="1" applyBorder="1" applyAlignment="1">
      <alignment vertical="center"/>
    </xf>
    <xf numFmtId="212" fontId="3" fillId="0" borderId="10" xfId="42" applyNumberFormat="1" applyFont="1" applyBorder="1" applyAlignment="1">
      <alignment vertical="center"/>
    </xf>
    <xf numFmtId="212" fontId="3" fillId="0" borderId="10" xfId="42" applyNumberFormat="1" applyFont="1" applyFill="1" applyBorder="1" applyAlignment="1">
      <alignment vertical="center"/>
    </xf>
    <xf numFmtId="0" fontId="30" fillId="0" borderId="0" xfId="0" applyFont="1" applyAlignment="1">
      <alignment horizontal="center" vertical="center" wrapText="1"/>
    </xf>
    <xf numFmtId="0" fontId="30" fillId="0" borderId="0" xfId="0" applyFont="1" applyAlignment="1">
      <alignment vertical="center" wrapText="1"/>
    </xf>
    <xf numFmtId="0" fontId="42" fillId="0" borderId="0" xfId="0" applyFont="1" applyAlignment="1">
      <alignment/>
    </xf>
    <xf numFmtId="0" fontId="3" fillId="0" borderId="12" xfId="0" applyFont="1" applyBorder="1" applyAlignment="1">
      <alignment horizontal="center" vertical="center" wrapText="1"/>
    </xf>
    <xf numFmtId="0" fontId="38" fillId="0" borderId="11" xfId="0" applyFont="1" applyBorder="1" applyAlignment="1">
      <alignment horizontal="left" vertical="center" wrapText="1"/>
    </xf>
    <xf numFmtId="0" fontId="28" fillId="0" borderId="11" xfId="0" applyFont="1" applyBorder="1" applyAlignment="1">
      <alignment horizontal="left" vertical="center" wrapText="1"/>
    </xf>
    <xf numFmtId="0" fontId="4" fillId="0" borderId="0" xfId="0" applyFont="1" applyAlignment="1">
      <alignment vertical="center" wrapText="1"/>
    </xf>
    <xf numFmtId="212" fontId="30" fillId="0" borderId="11" xfId="0" applyNumberFormat="1" applyFont="1" applyBorder="1" applyAlignment="1">
      <alignment horizontal="right" vertical="center" wrapText="1"/>
    </xf>
    <xf numFmtId="212" fontId="30" fillId="0" borderId="11" xfId="0" applyNumberFormat="1" applyFont="1" applyBorder="1" applyAlignment="1">
      <alignment horizontal="left" vertical="center" wrapText="1"/>
    </xf>
    <xf numFmtId="212" fontId="30" fillId="0" borderId="13" xfId="0" applyNumberFormat="1" applyFont="1" applyBorder="1" applyAlignment="1">
      <alignment horizontal="right" vertical="center" wrapText="1"/>
    </xf>
    <xf numFmtId="212" fontId="30" fillId="0" borderId="10" xfId="0" applyNumberFormat="1" applyFont="1" applyBorder="1" applyAlignment="1">
      <alignment horizontal="right" vertical="center" wrapText="1"/>
    </xf>
    <xf numFmtId="212" fontId="30" fillId="0" borderId="14" xfId="0" applyNumberFormat="1" applyFont="1" applyBorder="1" applyAlignment="1">
      <alignment horizontal="right" vertical="center" wrapText="1"/>
    </xf>
    <xf numFmtId="212" fontId="42" fillId="0" borderId="11" xfId="0" applyNumberFormat="1" applyFont="1" applyBorder="1" applyAlignment="1">
      <alignment horizontal="right" vertical="center" wrapText="1"/>
    </xf>
    <xf numFmtId="212" fontId="42" fillId="0" borderId="11" xfId="0" applyNumberFormat="1" applyFont="1" applyBorder="1" applyAlignment="1">
      <alignment horizontal="left" vertical="center" wrapText="1"/>
    </xf>
    <xf numFmtId="212" fontId="42" fillId="0" borderId="12" xfId="0" applyNumberFormat="1" applyFont="1" applyBorder="1" applyAlignment="1">
      <alignment horizontal="right" vertical="center" wrapText="1"/>
    </xf>
    <xf numFmtId="212" fontId="42" fillId="0" borderId="13" xfId="0" applyNumberFormat="1" applyFont="1" applyBorder="1" applyAlignment="1">
      <alignment horizontal="right" vertical="center" wrapText="1"/>
    </xf>
    <xf numFmtId="212" fontId="42" fillId="0" borderId="10" xfId="0" applyNumberFormat="1" applyFont="1" applyBorder="1" applyAlignment="1">
      <alignment horizontal="right" vertical="center" wrapText="1"/>
    </xf>
    <xf numFmtId="212" fontId="42" fillId="0" borderId="14" xfId="0" applyNumberFormat="1" applyFont="1" applyBorder="1" applyAlignment="1">
      <alignment horizontal="right" vertical="center" wrapText="1"/>
    </xf>
    <xf numFmtId="212" fontId="34" fillId="0" borderId="11" xfId="0" applyNumberFormat="1" applyFont="1" applyBorder="1" applyAlignment="1">
      <alignment horizontal="right" vertical="center" wrapText="1"/>
    </xf>
    <xf numFmtId="212" fontId="4" fillId="0" borderId="11" xfId="0" applyNumberFormat="1" applyFont="1" applyBorder="1" applyAlignment="1">
      <alignment horizontal="right" vertical="center" wrapText="1"/>
    </xf>
    <xf numFmtId="212" fontId="4" fillId="0" borderId="11" xfId="0" applyNumberFormat="1" applyFont="1" applyBorder="1" applyAlignment="1">
      <alignment horizontal="left" vertical="center" wrapText="1"/>
    </xf>
    <xf numFmtId="212" fontId="28" fillId="0" borderId="11" xfId="0" applyNumberFormat="1" applyFont="1" applyBorder="1" applyAlignment="1">
      <alignment horizontal="right" vertical="center" wrapText="1"/>
    </xf>
    <xf numFmtId="212" fontId="28" fillId="0" borderId="11" xfId="0" applyNumberFormat="1" applyFont="1" applyBorder="1" applyAlignment="1">
      <alignment horizontal="left" vertical="center" wrapText="1"/>
    </xf>
    <xf numFmtId="212" fontId="42" fillId="0" borderId="10" xfId="0" applyNumberFormat="1" applyFont="1" applyBorder="1" applyAlignment="1">
      <alignment horizontal="left" vertical="center" wrapText="1"/>
    </xf>
    <xf numFmtId="0" fontId="45" fillId="0" borderId="0" xfId="0" applyFont="1" applyFill="1" applyAlignment="1">
      <alignment vertical="center" wrapText="1"/>
    </xf>
    <xf numFmtId="3" fontId="46" fillId="0" borderId="0" xfId="0" applyNumberFormat="1" applyFont="1" applyFill="1" applyAlignment="1">
      <alignment vertical="center" wrapText="1"/>
    </xf>
    <xf numFmtId="0" fontId="46" fillId="0" borderId="0" xfId="0" applyFont="1" applyFill="1" applyAlignment="1">
      <alignment vertical="center" wrapText="1"/>
    </xf>
    <xf numFmtId="218" fontId="46" fillId="0" borderId="0" xfId="0" applyNumberFormat="1" applyFont="1" applyFill="1" applyAlignment="1">
      <alignment vertical="center" wrapText="1"/>
    </xf>
    <xf numFmtId="0" fontId="37" fillId="0" borderId="0" xfId="0" applyFont="1" applyFill="1" applyAlignment="1">
      <alignment vertical="center" wrapText="1"/>
    </xf>
    <xf numFmtId="0" fontId="6" fillId="0" borderId="0" xfId="63" applyFont="1" applyFill="1" applyAlignment="1">
      <alignment vertical="center"/>
      <protection/>
    </xf>
    <xf numFmtId="0" fontId="2" fillId="0" borderId="0" xfId="0" applyFont="1" applyFill="1" applyAlignment="1">
      <alignment horizontal="right" vertical="center" wrapText="1"/>
    </xf>
    <xf numFmtId="0" fontId="6" fillId="0" borderId="0" xfId="63" applyFont="1" applyFill="1" applyAlignment="1">
      <alignment horizontal="center" vertical="center"/>
      <protection/>
    </xf>
    <xf numFmtId="3" fontId="6" fillId="0" borderId="0" xfId="63" applyNumberFormat="1" applyFont="1" applyFill="1" applyAlignment="1">
      <alignment vertical="center"/>
      <protection/>
    </xf>
    <xf numFmtId="214" fontId="8" fillId="0" borderId="0" xfId="63" applyNumberFormat="1" applyFont="1" applyFill="1" applyAlignment="1">
      <alignment vertical="center"/>
      <protection/>
    </xf>
    <xf numFmtId="0" fontId="15" fillId="0" borderId="15" xfId="63" applyFont="1" applyFill="1" applyBorder="1" applyAlignment="1">
      <alignment vertical="center"/>
      <protection/>
    </xf>
    <xf numFmtId="0" fontId="7" fillId="0" borderId="10" xfId="0" applyFont="1" applyFill="1" applyBorder="1" applyAlignment="1">
      <alignment horizontal="center" vertical="center" wrapText="1"/>
    </xf>
    <xf numFmtId="0" fontId="7" fillId="0" borderId="0" xfId="63" applyFont="1" applyFill="1" applyAlignment="1">
      <alignment vertical="center"/>
      <protection/>
    </xf>
    <xf numFmtId="0" fontId="7" fillId="0" borderId="0" xfId="63" applyFont="1" applyFill="1" applyAlignment="1">
      <alignment horizontal="center" vertical="center" wrapText="1"/>
      <protection/>
    </xf>
    <xf numFmtId="0" fontId="6" fillId="0" borderId="14" xfId="63" applyFont="1" applyFill="1" applyBorder="1" applyAlignment="1">
      <alignment horizontal="center" vertical="center"/>
      <protection/>
    </xf>
    <xf numFmtId="0" fontId="6" fillId="0" borderId="16" xfId="63" applyFont="1" applyFill="1" applyBorder="1" applyAlignment="1">
      <alignment horizontal="center" vertical="center" wrapText="1"/>
      <protection/>
    </xf>
    <xf numFmtId="0" fontId="6" fillId="0" borderId="16" xfId="63" applyFont="1" applyFill="1" applyBorder="1" applyAlignment="1">
      <alignment horizontal="center" vertical="center"/>
      <protection/>
    </xf>
    <xf numFmtId="0" fontId="11" fillId="0" borderId="13" xfId="63" applyFont="1" applyFill="1" applyBorder="1" applyAlignment="1">
      <alignment horizontal="center" vertical="center"/>
      <protection/>
    </xf>
    <xf numFmtId="0" fontId="11" fillId="0" borderId="10" xfId="63" applyFont="1" applyFill="1" applyBorder="1" applyAlignment="1">
      <alignment horizontal="left" vertical="center" wrapText="1"/>
      <protection/>
    </xf>
    <xf numFmtId="0" fontId="11" fillId="0" borderId="10" xfId="63" applyFont="1" applyFill="1" applyBorder="1" applyAlignment="1">
      <alignment vertical="center" wrapText="1"/>
      <protection/>
    </xf>
    <xf numFmtId="0" fontId="9" fillId="0" borderId="13" xfId="63" applyFont="1" applyFill="1" applyBorder="1" applyAlignment="1">
      <alignment horizontal="center" vertical="center"/>
      <protection/>
    </xf>
    <xf numFmtId="0" fontId="9" fillId="0" borderId="10" xfId="63" applyFont="1" applyFill="1" applyBorder="1" applyAlignment="1">
      <alignment vertical="center" wrapText="1"/>
      <protection/>
    </xf>
    <xf numFmtId="3" fontId="6" fillId="0" borderId="10" xfId="0" applyNumberFormat="1" applyFont="1" applyFill="1" applyBorder="1" applyAlignment="1">
      <alignment horizontal="right" vertical="center" wrapText="1"/>
    </xf>
    <xf numFmtId="9" fontId="6" fillId="0" borderId="11" xfId="75" applyFont="1" applyFill="1" applyBorder="1" applyAlignment="1">
      <alignment vertical="center"/>
    </xf>
    <xf numFmtId="0" fontId="6" fillId="0" borderId="10" xfId="63" applyFont="1" applyFill="1" applyBorder="1" applyAlignment="1">
      <alignment vertical="center" wrapText="1"/>
      <protection/>
    </xf>
    <xf numFmtId="0" fontId="9" fillId="0" borderId="10" xfId="0" applyFont="1" applyFill="1" applyBorder="1" applyAlignment="1" quotePrefix="1">
      <alignment horizontal="left" vertical="center" wrapText="1"/>
    </xf>
    <xf numFmtId="0" fontId="7" fillId="0" borderId="10" xfId="63" applyFont="1" applyFill="1" applyBorder="1" applyAlignment="1">
      <alignment vertical="center" wrapText="1"/>
      <protection/>
    </xf>
    <xf numFmtId="0" fontId="17" fillId="0" borderId="13" xfId="63" applyFont="1" applyFill="1" applyBorder="1" applyAlignment="1">
      <alignment horizontal="center" vertical="center"/>
      <protection/>
    </xf>
    <xf numFmtId="0" fontId="17" fillId="0" borderId="10" xfId="63" applyFont="1" applyFill="1" applyBorder="1" applyAlignment="1">
      <alignment vertical="center" wrapText="1"/>
      <protection/>
    </xf>
    <xf numFmtId="0" fontId="15" fillId="0" borderId="10" xfId="63" applyFont="1" applyFill="1" applyBorder="1" applyAlignment="1">
      <alignment vertical="center" wrapText="1"/>
      <protection/>
    </xf>
    <xf numFmtId="9" fontId="15" fillId="0" borderId="11" xfId="75" applyFont="1" applyFill="1" applyBorder="1" applyAlignment="1">
      <alignment vertical="center"/>
    </xf>
    <xf numFmtId="0" fontId="15" fillId="0" borderId="0" xfId="63" applyFont="1" applyFill="1" applyAlignment="1">
      <alignment vertical="center"/>
      <protection/>
    </xf>
    <xf numFmtId="3" fontId="15" fillId="0" borderId="10" xfId="0" applyNumberFormat="1" applyFont="1" applyFill="1" applyBorder="1" applyAlignment="1">
      <alignment horizontal="right" vertical="center" wrapText="1"/>
    </xf>
    <xf numFmtId="9" fontId="25" fillId="0" borderId="11" xfId="75" applyFont="1" applyFill="1" applyBorder="1" applyAlignment="1">
      <alignment vertical="center"/>
    </xf>
    <xf numFmtId="0" fontId="25" fillId="0" borderId="0" xfId="63" applyFont="1" applyFill="1" applyAlignment="1">
      <alignment vertical="center"/>
      <protection/>
    </xf>
    <xf numFmtId="0" fontId="11" fillId="0" borderId="13" xfId="63" applyFont="1" applyFill="1" applyBorder="1" applyAlignment="1">
      <alignment horizontal="center" vertical="center" wrapText="1"/>
      <protection/>
    </xf>
    <xf numFmtId="0" fontId="9" fillId="0" borderId="13" xfId="63" applyFont="1" applyFill="1" applyBorder="1" applyAlignment="1">
      <alignment horizontal="center" vertical="center" wrapText="1"/>
      <protection/>
    </xf>
    <xf numFmtId="0" fontId="17" fillId="0" borderId="13" xfId="63" applyFont="1" applyFill="1" applyBorder="1" applyAlignment="1">
      <alignment horizontal="center" vertical="center" wrapText="1"/>
      <protection/>
    </xf>
    <xf numFmtId="9" fontId="7" fillId="0" borderId="17" xfId="75" applyFont="1" applyFill="1" applyBorder="1" applyAlignment="1">
      <alignment vertical="center"/>
    </xf>
    <xf numFmtId="3" fontId="7" fillId="0" borderId="10" xfId="0" applyNumberFormat="1" applyFont="1" applyFill="1" applyBorder="1" applyAlignment="1">
      <alignment horizontal="right" vertical="center" wrapText="1"/>
    </xf>
    <xf numFmtId="9" fontId="7" fillId="0" borderId="18" xfId="75" applyFont="1" applyFill="1" applyBorder="1" applyAlignment="1">
      <alignment vertical="center"/>
    </xf>
    <xf numFmtId="0" fontId="37" fillId="0" borderId="0" xfId="0" applyFont="1" applyFill="1" applyAlignment="1">
      <alignment vertical="center"/>
    </xf>
    <xf numFmtId="0" fontId="44" fillId="0" borderId="0" xfId="0" applyFont="1" applyFill="1" applyAlignment="1">
      <alignment vertical="center"/>
    </xf>
    <xf numFmtId="3" fontId="30" fillId="34" borderId="0" xfId="0" applyNumberFormat="1" applyFont="1" applyFill="1" applyAlignment="1">
      <alignment vertical="center" wrapText="1"/>
    </xf>
    <xf numFmtId="3" fontId="2" fillId="34" borderId="0" xfId="0" applyNumberFormat="1" applyFont="1" applyFill="1" applyAlignment="1">
      <alignment vertical="center" wrapText="1"/>
    </xf>
    <xf numFmtId="3" fontId="2" fillId="34" borderId="0" xfId="0" applyNumberFormat="1" applyFont="1" applyFill="1" applyAlignment="1">
      <alignment vertical="center"/>
    </xf>
    <xf numFmtId="3" fontId="2" fillId="35" borderId="0" xfId="0" applyNumberFormat="1" applyFont="1" applyFill="1" applyAlignment="1">
      <alignment vertical="center"/>
    </xf>
    <xf numFmtId="194" fontId="3" fillId="35" borderId="0" xfId="0" applyNumberFormat="1" applyFont="1" applyFill="1" applyAlignment="1">
      <alignment vertical="center"/>
    </xf>
    <xf numFmtId="3" fontId="3" fillId="34" borderId="0" xfId="0" applyNumberFormat="1" applyFont="1" applyFill="1" applyAlignment="1">
      <alignment vertical="center"/>
    </xf>
    <xf numFmtId="0" fontId="3" fillId="34" borderId="0" xfId="0" applyFont="1" applyFill="1" applyAlignment="1">
      <alignment vertical="center"/>
    </xf>
    <xf numFmtId="0" fontId="42" fillId="34" borderId="0" xfId="0" applyFont="1" applyFill="1" applyAlignment="1">
      <alignment vertical="center"/>
    </xf>
    <xf numFmtId="0" fontId="30" fillId="34" borderId="0" xfId="67" applyFont="1" applyFill="1" applyAlignment="1">
      <alignment vertical="center"/>
      <protection/>
    </xf>
    <xf numFmtId="0" fontId="3" fillId="34" borderId="0" xfId="0" applyFont="1" applyFill="1" applyAlignment="1">
      <alignment vertical="center" wrapText="1"/>
    </xf>
    <xf numFmtId="3" fontId="42" fillId="34" borderId="0" xfId="0" applyNumberFormat="1" applyFont="1" applyFill="1" applyAlignment="1">
      <alignment vertical="center" wrapText="1"/>
    </xf>
    <xf numFmtId="3" fontId="3" fillId="34" borderId="0" xfId="0" applyNumberFormat="1" applyFont="1" applyFill="1" applyAlignment="1">
      <alignment vertical="center" wrapText="1"/>
    </xf>
    <xf numFmtId="3" fontId="4" fillId="34" borderId="0" xfId="0" applyNumberFormat="1" applyFont="1" applyFill="1" applyAlignment="1">
      <alignment vertical="center"/>
    </xf>
    <xf numFmtId="3" fontId="3" fillId="35" borderId="0" xfId="0" applyNumberFormat="1" applyFont="1" applyFill="1" applyAlignment="1">
      <alignment vertical="center"/>
    </xf>
    <xf numFmtId="194" fontId="3" fillId="35" borderId="0" xfId="42" applyNumberFormat="1" applyFont="1" applyFill="1" applyAlignment="1">
      <alignment vertical="center"/>
    </xf>
    <xf numFmtId="0" fontId="34" fillId="34" borderId="0" xfId="0" applyFont="1" applyFill="1" applyAlignment="1">
      <alignment vertical="center"/>
    </xf>
    <xf numFmtId="0" fontId="30" fillId="35" borderId="19" xfId="0" applyFont="1" applyFill="1" applyBorder="1" applyAlignment="1">
      <alignment horizontal="center" vertical="center"/>
    </xf>
    <xf numFmtId="214" fontId="28" fillId="35" borderId="20" xfId="42" applyNumberFormat="1" applyFont="1" applyFill="1" applyBorder="1" applyAlignment="1">
      <alignment horizontal="center" vertical="center"/>
    </xf>
    <xf numFmtId="0" fontId="30" fillId="35" borderId="20" xfId="0" applyFont="1" applyFill="1" applyBorder="1" applyAlignment="1">
      <alignment horizontal="center" vertical="center"/>
    </xf>
    <xf numFmtId="0" fontId="30" fillId="34" borderId="10" xfId="0" applyFont="1" applyFill="1" applyBorder="1" applyAlignment="1">
      <alignment horizontal="center" vertical="center"/>
    </xf>
    <xf numFmtId="0" fontId="30" fillId="35" borderId="10" xfId="0" applyFont="1" applyFill="1" applyBorder="1" applyAlignment="1">
      <alignment horizontal="center" vertical="center"/>
    </xf>
    <xf numFmtId="0" fontId="30" fillId="35" borderId="21" xfId="0" applyFont="1" applyFill="1" applyBorder="1" applyAlignment="1">
      <alignment horizontal="center" vertical="center"/>
    </xf>
    <xf numFmtId="0" fontId="30" fillId="34" borderId="21"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2" xfId="0" applyFont="1" applyFill="1" applyBorder="1" applyAlignment="1">
      <alignment horizontal="center" vertical="center" wrapText="1"/>
    </xf>
    <xf numFmtId="0" fontId="42" fillId="34" borderId="22" xfId="0" applyFont="1" applyFill="1" applyBorder="1" applyAlignment="1">
      <alignment horizontal="center" vertical="center" wrapText="1"/>
    </xf>
    <xf numFmtId="0" fontId="42" fillId="34" borderId="22" xfId="0" applyFont="1" applyFill="1" applyBorder="1" applyAlignment="1">
      <alignment horizontal="center" vertical="center"/>
    </xf>
    <xf numFmtId="0" fontId="42" fillId="35" borderId="23" xfId="0" applyFont="1" applyFill="1" applyBorder="1" applyAlignment="1">
      <alignment horizontal="center" vertical="center"/>
    </xf>
    <xf numFmtId="0" fontId="42" fillId="35" borderId="20" xfId="0" applyFont="1" applyFill="1" applyBorder="1" applyAlignment="1">
      <alignment horizontal="center" vertical="center"/>
    </xf>
    <xf numFmtId="0" fontId="42" fillId="34" borderId="20" xfId="0" applyFont="1" applyFill="1" applyBorder="1" applyAlignment="1">
      <alignment horizontal="center" vertical="center"/>
    </xf>
    <xf numFmtId="0" fontId="42" fillId="35" borderId="24" xfId="0" applyFont="1" applyFill="1" applyBorder="1" applyAlignment="1">
      <alignment horizontal="center" vertical="center"/>
    </xf>
    <xf numFmtId="0" fontId="42"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30" fillId="34" borderId="10" xfId="0" applyFont="1" applyFill="1" applyBorder="1" applyAlignment="1">
      <alignment horizontal="left" vertical="center" wrapText="1"/>
    </xf>
    <xf numFmtId="194" fontId="30" fillId="34" borderId="10" xfId="42" applyNumberFormat="1" applyFont="1" applyFill="1" applyBorder="1" applyAlignment="1">
      <alignment horizontal="right" vertical="center" wrapText="1"/>
    </xf>
    <xf numFmtId="4" fontId="30" fillId="34" borderId="10" xfId="0" applyNumberFormat="1" applyFont="1" applyFill="1" applyBorder="1" applyAlignment="1">
      <alignment horizontal="center" vertical="center"/>
    </xf>
    <xf numFmtId="0" fontId="30" fillId="34" borderId="0" xfId="0" applyFont="1" applyFill="1" applyAlignment="1">
      <alignment vertical="center"/>
    </xf>
    <xf numFmtId="0" fontId="30" fillId="34" borderId="10" xfId="68" applyFont="1" applyFill="1" applyBorder="1" applyAlignment="1">
      <alignment horizontal="left" vertical="center" wrapText="1"/>
      <protection/>
    </xf>
    <xf numFmtId="0" fontId="42" fillId="34" borderId="10" xfId="68" applyFont="1" applyFill="1" applyBorder="1" applyAlignment="1">
      <alignment horizontal="left" vertical="center" wrapText="1"/>
      <protection/>
    </xf>
    <xf numFmtId="194" fontId="42" fillId="34" borderId="10" xfId="42" applyNumberFormat="1" applyFont="1" applyFill="1" applyBorder="1" applyAlignment="1">
      <alignment horizontal="right" vertical="center" wrapText="1"/>
    </xf>
    <xf numFmtId="4" fontId="42" fillId="34" borderId="10" xfId="0" applyNumberFormat="1" applyFont="1" applyFill="1" applyBorder="1" applyAlignment="1">
      <alignment horizontal="center" vertical="center"/>
    </xf>
    <xf numFmtId="0" fontId="2" fillId="34" borderId="10" xfId="68" applyFont="1" applyFill="1" applyBorder="1" applyAlignment="1">
      <alignment horizontal="left" vertical="center" wrapText="1"/>
      <protection/>
    </xf>
    <xf numFmtId="0" fontId="34" fillId="34" borderId="10" xfId="0" applyFont="1" applyFill="1" applyBorder="1" applyAlignment="1">
      <alignment horizontal="center" vertical="center"/>
    </xf>
    <xf numFmtId="0" fontId="4" fillId="34" borderId="10" xfId="68" applyFont="1" applyFill="1" applyBorder="1" applyAlignment="1">
      <alignment horizontal="left" vertical="center"/>
      <protection/>
    </xf>
    <xf numFmtId="4" fontId="34" fillId="34" borderId="10" xfId="0" applyNumberFormat="1" applyFont="1" applyFill="1" applyBorder="1" applyAlignment="1">
      <alignment horizontal="center" vertical="center"/>
    </xf>
    <xf numFmtId="0" fontId="4" fillId="34" borderId="10" xfId="68" applyFont="1" applyFill="1" applyBorder="1" applyAlignment="1">
      <alignment horizontal="left" vertical="center" wrapText="1"/>
      <protection/>
    </xf>
    <xf numFmtId="0" fontId="42" fillId="34" borderId="10" xfId="68" applyFont="1" applyFill="1" applyBorder="1" applyAlignment="1">
      <alignment horizontal="left" vertical="center"/>
      <protection/>
    </xf>
    <xf numFmtId="0" fontId="4" fillId="34" borderId="10" xfId="68" applyFont="1" applyFill="1" applyBorder="1" applyAlignment="1" quotePrefix="1">
      <alignment horizontal="left" vertical="center" wrapText="1"/>
      <protection/>
    </xf>
    <xf numFmtId="0" fontId="30" fillId="34" borderId="10" xfId="68" applyFont="1" applyFill="1" applyBorder="1" applyAlignment="1">
      <alignment horizontal="left" vertical="center"/>
      <protection/>
    </xf>
    <xf numFmtId="3" fontId="30" fillId="34" borderId="10" xfId="70" applyNumberFormat="1" applyFont="1" applyFill="1" applyBorder="1" applyAlignment="1">
      <alignment horizontal="left" vertical="center" wrapText="1"/>
      <protection/>
    </xf>
    <xf numFmtId="0" fontId="42" fillId="34" borderId="10" xfId="61" applyFont="1" applyFill="1" applyBorder="1" applyAlignment="1">
      <alignment horizontal="left" vertical="center" wrapText="1"/>
      <protection/>
    </xf>
    <xf numFmtId="0" fontId="34" fillId="34" borderId="10" xfId="61" applyFont="1" applyFill="1" applyBorder="1" applyAlignment="1">
      <alignment horizontal="left" vertical="center" wrapText="1"/>
      <protection/>
    </xf>
    <xf numFmtId="0" fontId="3" fillId="34" borderId="10" xfId="68" applyFont="1" applyFill="1" applyBorder="1" applyAlignment="1">
      <alignment horizontal="center" vertical="center"/>
      <protection/>
    </xf>
    <xf numFmtId="0" fontId="42" fillId="34" borderId="10" xfId="0" applyFont="1" applyFill="1" applyBorder="1" applyAlignment="1">
      <alignment horizontal="left" vertical="center" wrapText="1"/>
    </xf>
    <xf numFmtId="0" fontId="3" fillId="34" borderId="10" xfId="0" applyFont="1" applyFill="1" applyBorder="1" applyAlignment="1" quotePrefix="1">
      <alignment horizontal="center" vertical="center"/>
    </xf>
    <xf numFmtId="0" fontId="3" fillId="34" borderId="10" xfId="0" applyFont="1" applyFill="1" applyBorder="1" applyAlignment="1">
      <alignment horizontal="center" vertical="center"/>
    </xf>
    <xf numFmtId="0" fontId="42" fillId="34" borderId="10" xfId="61" applyFont="1" applyFill="1" applyBorder="1" applyAlignment="1">
      <alignment horizontal="center" vertical="center" wrapText="1"/>
      <protection/>
    </xf>
    <xf numFmtId="0" fontId="62" fillId="34" borderId="10" xfId="0" applyFont="1" applyFill="1" applyBorder="1" applyAlignment="1">
      <alignment horizontal="center" vertical="center"/>
    </xf>
    <xf numFmtId="0" fontId="34" fillId="34" borderId="10" xfId="0" applyFont="1" applyFill="1" applyBorder="1" applyAlignment="1" quotePrefix="1">
      <alignment horizontal="left" vertical="center" wrapText="1"/>
    </xf>
    <xf numFmtId="0" fontId="42" fillId="35" borderId="0" xfId="0" applyFont="1" applyFill="1" applyAlignment="1">
      <alignment vertical="center"/>
    </xf>
    <xf numFmtId="0" fontId="42" fillId="34" borderId="0" xfId="0" applyFont="1" applyFill="1" applyAlignment="1">
      <alignment vertical="center" wrapText="1"/>
    </xf>
    <xf numFmtId="0" fontId="34" fillId="34" borderId="0" xfId="67" applyFont="1" applyFill="1" applyAlignment="1">
      <alignment vertical="center"/>
      <protection/>
    </xf>
    <xf numFmtId="212" fontId="7" fillId="0" borderId="10" xfId="47" applyNumberFormat="1" applyFont="1" applyFill="1" applyBorder="1" applyAlignment="1">
      <alignment vertical="center"/>
    </xf>
    <xf numFmtId="212" fontId="7" fillId="0" borderId="17" xfId="47" applyNumberFormat="1" applyFont="1" applyFill="1" applyBorder="1" applyAlignment="1">
      <alignment vertical="center"/>
    </xf>
    <xf numFmtId="212" fontId="7" fillId="0" borderId="11" xfId="47" applyNumberFormat="1" applyFont="1" applyFill="1" applyBorder="1" applyAlignment="1">
      <alignment vertical="center"/>
    </xf>
    <xf numFmtId="212" fontId="6" fillId="0" borderId="10" xfId="47" applyNumberFormat="1" applyFont="1" applyFill="1" applyBorder="1" applyAlignment="1">
      <alignment vertical="center"/>
    </xf>
    <xf numFmtId="212" fontId="6" fillId="0" borderId="17" xfId="47" applyNumberFormat="1" applyFont="1" applyFill="1" applyBorder="1" applyAlignment="1">
      <alignment vertical="center"/>
    </xf>
    <xf numFmtId="212" fontId="6" fillId="0" borderId="11" xfId="47" applyNumberFormat="1" applyFont="1" applyFill="1" applyBorder="1" applyAlignment="1">
      <alignment vertical="center"/>
    </xf>
    <xf numFmtId="212" fontId="5" fillId="0" borderId="10" xfId="0" applyNumberFormat="1" applyFont="1" applyFill="1" applyBorder="1" applyAlignment="1">
      <alignment horizontal="right" vertical="center" wrapText="1"/>
    </xf>
    <xf numFmtId="212" fontId="6" fillId="0" borderId="10" xfId="0" applyNumberFormat="1" applyFont="1" applyFill="1" applyBorder="1" applyAlignment="1">
      <alignment horizontal="right" vertical="center" wrapText="1"/>
    </xf>
    <xf numFmtId="212" fontId="15" fillId="0" borderId="17" xfId="47" applyNumberFormat="1" applyFont="1" applyFill="1" applyBorder="1" applyAlignment="1">
      <alignment vertical="center"/>
    </xf>
    <xf numFmtId="212" fontId="15" fillId="0" borderId="11" xfId="47" applyNumberFormat="1" applyFont="1" applyFill="1" applyBorder="1" applyAlignment="1">
      <alignment vertical="center"/>
    </xf>
    <xf numFmtId="212" fontId="25" fillId="0" borderId="11" xfId="47" applyNumberFormat="1" applyFont="1" applyFill="1" applyBorder="1" applyAlignment="1">
      <alignment vertical="center"/>
    </xf>
    <xf numFmtId="212" fontId="7" fillId="0" borderId="12" xfId="47" applyNumberFormat="1" applyFont="1" applyFill="1" applyBorder="1" applyAlignment="1">
      <alignment vertical="center"/>
    </xf>
    <xf numFmtId="212" fontId="7" fillId="0" borderId="25" xfId="47" applyNumberFormat="1" applyFont="1" applyFill="1" applyBorder="1" applyAlignment="1">
      <alignment vertical="center"/>
    </xf>
    <xf numFmtId="212" fontId="6" fillId="0" borderId="10" xfId="63" applyNumberFormat="1" applyFont="1" applyFill="1" applyBorder="1" applyAlignment="1">
      <alignment vertical="center"/>
      <protection/>
    </xf>
    <xf numFmtId="212" fontId="6" fillId="0" borderId="14" xfId="47" applyNumberFormat="1" applyFont="1" applyFill="1" applyBorder="1" applyAlignment="1">
      <alignment vertical="center"/>
    </xf>
    <xf numFmtId="212" fontId="7" fillId="0" borderId="26" xfId="47" applyNumberFormat="1" applyFont="1" applyFill="1" applyBorder="1" applyAlignment="1">
      <alignment vertical="center"/>
    </xf>
    <xf numFmtId="212" fontId="7" fillId="0" borderId="14" xfId="47" applyNumberFormat="1" applyFont="1" applyFill="1" applyBorder="1" applyAlignment="1">
      <alignment vertical="center"/>
    </xf>
    <xf numFmtId="212" fontId="6" fillId="0" borderId="18" xfId="47" applyNumberFormat="1" applyFont="1" applyFill="1" applyBorder="1" applyAlignment="1">
      <alignment vertical="center"/>
    </xf>
    <xf numFmtId="212" fontId="7" fillId="0" borderId="18" xfId="47" applyNumberFormat="1" applyFont="1" applyFill="1" applyBorder="1" applyAlignment="1">
      <alignment vertical="center"/>
    </xf>
    <xf numFmtId="212" fontId="7" fillId="0" borderId="27" xfId="47" applyNumberFormat="1" applyFont="1" applyFill="1" applyBorder="1" applyAlignment="1">
      <alignment vertical="center"/>
    </xf>
    <xf numFmtId="212" fontId="30" fillId="34" borderId="10" xfId="42" applyNumberFormat="1" applyFont="1" applyFill="1" applyBorder="1" applyAlignment="1">
      <alignment horizontal="right" vertical="center" wrapText="1"/>
    </xf>
    <xf numFmtId="212" fontId="30" fillId="35" borderId="10" xfId="42" applyNumberFormat="1" applyFont="1" applyFill="1" applyBorder="1" applyAlignment="1">
      <alignment horizontal="right" vertical="center" wrapText="1"/>
    </xf>
    <xf numFmtId="212" fontId="42" fillId="34" borderId="10" xfId="42" applyNumberFormat="1" applyFont="1" applyFill="1" applyBorder="1" applyAlignment="1">
      <alignment horizontal="right" vertical="center" wrapText="1"/>
    </xf>
    <xf numFmtId="212" fontId="42" fillId="35" borderId="10" xfId="0" applyNumberFormat="1" applyFont="1" applyFill="1" applyBorder="1" applyAlignment="1">
      <alignment horizontal="right" vertical="center"/>
    </xf>
    <xf numFmtId="212" fontId="42" fillId="34" borderId="10" xfId="42" applyNumberFormat="1" applyFont="1" applyFill="1" applyBorder="1" applyAlignment="1">
      <alignment horizontal="right" vertical="center"/>
    </xf>
    <xf numFmtId="212" fontId="42" fillId="34" borderId="10" xfId="0" applyNumberFormat="1" applyFont="1" applyFill="1" applyBorder="1" applyAlignment="1">
      <alignment horizontal="right" vertical="center"/>
    </xf>
    <xf numFmtId="212" fontId="42" fillId="35" borderId="10" xfId="42" applyNumberFormat="1" applyFont="1" applyFill="1" applyBorder="1" applyAlignment="1">
      <alignment horizontal="right" vertical="center" wrapText="1"/>
    </xf>
    <xf numFmtId="212" fontId="34" fillId="34" borderId="10" xfId="42" applyNumberFormat="1" applyFont="1" applyFill="1" applyBorder="1" applyAlignment="1">
      <alignment horizontal="right" vertical="center"/>
    </xf>
    <xf numFmtId="212" fontId="42" fillId="34" borderId="10" xfId="68" applyNumberFormat="1" applyFont="1" applyFill="1" applyBorder="1" applyAlignment="1">
      <alignment horizontal="right" vertical="center" wrapText="1"/>
      <protection/>
    </xf>
    <xf numFmtId="212" fontId="62" fillId="34" borderId="10" xfId="42" applyNumberFormat="1" applyFont="1" applyFill="1" applyBorder="1" applyAlignment="1">
      <alignment horizontal="right" vertical="center"/>
    </xf>
    <xf numFmtId="212" fontId="30" fillId="34" borderId="10" xfId="42" applyNumberFormat="1" applyFont="1" applyFill="1" applyBorder="1" applyAlignment="1">
      <alignment horizontal="right" vertical="center"/>
    </xf>
    <xf numFmtId="212" fontId="30" fillId="35" borderId="10" xfId="0" applyNumberFormat="1" applyFont="1" applyFill="1" applyBorder="1" applyAlignment="1">
      <alignment horizontal="right" vertical="center"/>
    </xf>
    <xf numFmtId="212" fontId="30" fillId="34" borderId="10" xfId="0" applyNumberFormat="1" applyFont="1" applyFill="1" applyBorder="1" applyAlignment="1">
      <alignment horizontal="right" vertical="center" wrapText="1"/>
    </xf>
    <xf numFmtId="212" fontId="30" fillId="34" borderId="10" xfId="0" applyNumberFormat="1" applyFont="1" applyFill="1" applyBorder="1" applyAlignment="1">
      <alignment horizontal="right" vertical="center"/>
    </xf>
    <xf numFmtId="212" fontId="63" fillId="34" borderId="10" xfId="42" applyNumberFormat="1" applyFont="1" applyFill="1" applyBorder="1" applyAlignment="1">
      <alignment horizontal="right" vertical="center" wrapText="1"/>
    </xf>
    <xf numFmtId="212" fontId="63" fillId="35" borderId="10" xfId="0" applyNumberFormat="1" applyFont="1" applyFill="1" applyBorder="1" applyAlignment="1">
      <alignment horizontal="right" vertical="center"/>
    </xf>
    <xf numFmtId="212" fontId="63" fillId="34" borderId="10" xfId="0" applyNumberFormat="1" applyFont="1" applyFill="1" applyBorder="1" applyAlignment="1">
      <alignment horizontal="right" vertical="center"/>
    </xf>
    <xf numFmtId="212" fontId="34" fillId="34" borderId="10" xfId="0" applyNumberFormat="1" applyFont="1" applyFill="1" applyBorder="1" applyAlignment="1">
      <alignment horizontal="right" vertical="center"/>
    </xf>
    <xf numFmtId="212" fontId="34" fillId="34" borderId="10" xfId="42" applyNumberFormat="1" applyFont="1" applyFill="1" applyBorder="1" applyAlignment="1">
      <alignment horizontal="right" vertical="center" wrapText="1"/>
    </xf>
    <xf numFmtId="212" fontId="34" fillId="35" borderId="10" xfId="0" applyNumberFormat="1" applyFont="1" applyFill="1" applyBorder="1" applyAlignment="1">
      <alignment horizontal="right" vertical="center"/>
    </xf>
    <xf numFmtId="212" fontId="62" fillId="35" borderId="10" xfId="0" applyNumberFormat="1" applyFont="1" applyFill="1" applyBorder="1" applyAlignment="1">
      <alignment horizontal="right" vertical="center"/>
    </xf>
    <xf numFmtId="212" fontId="62" fillId="34" borderId="10" xfId="0" applyNumberFormat="1" applyFont="1" applyFill="1" applyBorder="1" applyAlignment="1">
      <alignment horizontal="right" vertical="center"/>
    </xf>
    <xf numFmtId="212" fontId="34" fillId="34" borderId="10" xfId="0" applyNumberFormat="1" applyFont="1" applyFill="1" applyBorder="1" applyAlignment="1">
      <alignment horizontal="right" vertical="center" wrapText="1"/>
    </xf>
    <xf numFmtId="212" fontId="64" fillId="34" borderId="10" xfId="0" applyNumberFormat="1" applyFont="1" applyFill="1" applyBorder="1" applyAlignment="1">
      <alignment horizontal="right" vertical="center" wrapText="1"/>
    </xf>
    <xf numFmtId="212" fontId="63" fillId="34" borderId="10" xfId="0" applyNumberFormat="1" applyFont="1" applyFill="1" applyBorder="1" applyAlignment="1">
      <alignment horizontal="right" vertical="center" wrapText="1"/>
    </xf>
    <xf numFmtId="212" fontId="65" fillId="34" borderId="10" xfId="42" applyNumberFormat="1" applyFont="1" applyFill="1" applyBorder="1" applyAlignment="1">
      <alignment horizontal="right" vertical="center" wrapText="1"/>
    </xf>
    <xf numFmtId="212" fontId="65" fillId="34" borderId="10" xfId="42" applyNumberFormat="1" applyFont="1" applyFill="1" applyBorder="1" applyAlignment="1">
      <alignment horizontal="right" vertical="center"/>
    </xf>
    <xf numFmtId="212" fontId="65" fillId="34" borderId="10" xfId="0" applyNumberFormat="1" applyFont="1" applyFill="1" applyBorder="1" applyAlignment="1">
      <alignment horizontal="right" vertical="center"/>
    </xf>
    <xf numFmtId="212" fontId="34" fillId="35" borderId="10" xfId="42" applyNumberFormat="1" applyFont="1" applyFill="1" applyBorder="1" applyAlignment="1">
      <alignment horizontal="right" vertical="center" wrapText="1"/>
    </xf>
    <xf numFmtId="212" fontId="62" fillId="34" borderId="10" xfId="42" applyNumberFormat="1" applyFont="1" applyFill="1" applyBorder="1" applyAlignment="1">
      <alignment horizontal="right" vertical="center" wrapText="1"/>
    </xf>
    <xf numFmtId="212" fontId="63" fillId="34" borderId="10" xfId="42" applyNumberFormat="1" applyFont="1" applyFill="1" applyBorder="1" applyAlignment="1">
      <alignment horizontal="right" vertical="center"/>
    </xf>
    <xf numFmtId="212" fontId="30" fillId="34" borderId="10" xfId="68" applyNumberFormat="1" applyFont="1" applyFill="1" applyBorder="1" applyAlignment="1">
      <alignment horizontal="right" vertical="center"/>
      <protection/>
    </xf>
    <xf numFmtId="212" fontId="30" fillId="35" borderId="10" xfId="68" applyNumberFormat="1" applyFont="1" applyFill="1" applyBorder="1" applyAlignment="1">
      <alignment horizontal="right" vertical="center"/>
      <protection/>
    </xf>
    <xf numFmtId="212" fontId="42" fillId="34" borderId="10" xfId="0" applyNumberFormat="1" applyFont="1" applyFill="1" applyBorder="1" applyAlignment="1">
      <alignment horizontal="right" vertical="center" wrapText="1"/>
    </xf>
    <xf numFmtId="212" fontId="30" fillId="34" borderId="10" xfId="0" applyNumberFormat="1" applyFont="1" applyFill="1" applyBorder="1" applyAlignment="1">
      <alignment horizontal="center" vertical="center" wrapText="1"/>
    </xf>
    <xf numFmtId="212" fontId="42" fillId="35" borderId="10" xfId="0" applyNumberFormat="1" applyFont="1" applyFill="1" applyBorder="1" applyAlignment="1">
      <alignment horizontal="center" vertical="center"/>
    </xf>
    <xf numFmtId="212" fontId="42" fillId="34" borderId="10" xfId="0" applyNumberFormat="1" applyFont="1" applyFill="1" applyBorder="1" applyAlignment="1">
      <alignment horizontal="center" vertical="center"/>
    </xf>
    <xf numFmtId="212" fontId="62" fillId="34" borderId="10" xfId="0" applyNumberFormat="1" applyFont="1" applyFill="1" applyBorder="1" applyAlignment="1">
      <alignment horizontal="right" vertical="center" wrapText="1"/>
    </xf>
    <xf numFmtId="0" fontId="32" fillId="33" borderId="0" xfId="0" applyFont="1" applyFill="1" applyAlignment="1">
      <alignment horizontal="right" vertical="center" wrapText="1"/>
    </xf>
    <xf numFmtId="0" fontId="13" fillId="0" borderId="0" xfId="0" applyFont="1" applyAlignment="1">
      <alignment horizontal="center" vertical="center"/>
    </xf>
    <xf numFmtId="0" fontId="32" fillId="0" borderId="0" xfId="0" applyFont="1" applyAlignment="1">
      <alignment horizontal="center" vertical="center"/>
    </xf>
    <xf numFmtId="0" fontId="17" fillId="0" borderId="0" xfId="0" applyFont="1" applyAlignment="1">
      <alignment horizontal="center" vertical="center"/>
    </xf>
    <xf numFmtId="0" fontId="32" fillId="0" borderId="0" xfId="0" applyFont="1" applyAlignment="1">
      <alignment horizontal="right" vertical="center" wrapText="1"/>
    </xf>
    <xf numFmtId="0" fontId="11"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8" xfId="0" applyFont="1" applyFill="1" applyBorder="1" applyAlignment="1">
      <alignment horizontal="center" vertical="center" wrapText="1"/>
    </xf>
    <xf numFmtId="194" fontId="7" fillId="34" borderId="29" xfId="47" applyNumberFormat="1" applyFont="1" applyFill="1" applyBorder="1" applyAlignment="1">
      <alignment horizontal="center" vertical="center" wrapText="1"/>
    </xf>
    <xf numFmtId="194" fontId="7" fillId="34" borderId="21" xfId="47" applyNumberFormat="1" applyFont="1" applyFill="1" applyBorder="1" applyAlignment="1">
      <alignment horizontal="center" vertical="center" wrapText="1"/>
    </xf>
    <xf numFmtId="194" fontId="7" fillId="34" borderId="10" xfId="47" applyNumberFormat="1" applyFont="1" applyFill="1" applyBorder="1" applyAlignment="1">
      <alignment horizontal="center" vertical="center" wrapText="1"/>
    </xf>
    <xf numFmtId="0" fontId="34" fillId="34" borderId="15" xfId="0" applyFont="1" applyFill="1" applyBorder="1" applyAlignment="1">
      <alignment horizontal="right" vertical="center"/>
    </xf>
    <xf numFmtId="0" fontId="30" fillId="34" borderId="10" xfId="0" applyFont="1" applyFill="1" applyBorder="1" applyAlignment="1">
      <alignment horizontal="center" vertical="center" wrapText="1"/>
    </xf>
    <xf numFmtId="0" fontId="7" fillId="34" borderId="0" xfId="0" applyFont="1" applyFill="1" applyAlignment="1">
      <alignment horizontal="left" vertical="center" wrapText="1"/>
    </xf>
    <xf numFmtId="0" fontId="16" fillId="34" borderId="0" xfId="0" applyFont="1" applyFill="1" applyAlignment="1">
      <alignment horizontal="center" vertical="center" wrapText="1"/>
    </xf>
    <xf numFmtId="0" fontId="16" fillId="34" borderId="0" xfId="0" applyFont="1" applyFill="1" applyAlignment="1">
      <alignment horizontal="center" vertical="center"/>
    </xf>
    <xf numFmtId="0" fontId="14" fillId="33" borderId="0" xfId="0" applyFont="1" applyFill="1" applyAlignment="1">
      <alignment horizontal="center" vertical="center"/>
    </xf>
    <xf numFmtId="0" fontId="7" fillId="34" borderId="10"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16" fillId="0" borderId="10"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1" fillId="34" borderId="0" xfId="0" applyFont="1" applyFill="1" applyAlignment="1">
      <alignment horizontal="center" vertical="center" wrapText="1"/>
    </xf>
    <xf numFmtId="0" fontId="34" fillId="34" borderId="15" xfId="0" applyFont="1" applyFill="1" applyBorder="1" applyAlignment="1">
      <alignment horizontal="center" vertical="center"/>
    </xf>
    <xf numFmtId="0" fontId="34" fillId="0" borderId="0" xfId="0" applyFont="1" applyAlignment="1">
      <alignment horizontal="right" vertical="center"/>
    </xf>
    <xf numFmtId="0" fontId="16" fillId="0" borderId="0" xfId="0" applyFont="1" applyAlignment="1">
      <alignment horizontal="center" vertical="center"/>
    </xf>
    <xf numFmtId="0" fontId="28" fillId="0" borderId="29" xfId="0" applyFont="1" applyBorder="1" applyAlignment="1">
      <alignment horizontal="center" vertical="center"/>
    </xf>
    <xf numFmtId="0" fontId="28" fillId="0" borderId="32" xfId="0" applyFont="1" applyBorder="1" applyAlignment="1">
      <alignment horizontal="center" vertical="center"/>
    </xf>
    <xf numFmtId="0" fontId="28" fillId="0" borderId="21" xfId="0" applyFont="1" applyBorder="1" applyAlignment="1">
      <alignment horizontal="center" vertical="center"/>
    </xf>
    <xf numFmtId="0" fontId="28" fillId="0" borderId="10" xfId="0" applyFont="1" applyBorder="1" applyAlignment="1">
      <alignment horizontal="center" vertical="center" wrapText="1"/>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8" fillId="0" borderId="21" xfId="0" applyFont="1" applyBorder="1" applyAlignment="1">
      <alignment horizontal="center" vertical="center"/>
    </xf>
    <xf numFmtId="0" fontId="4" fillId="0" borderId="15" xfId="0" applyFont="1" applyBorder="1" applyAlignment="1">
      <alignment horizontal="right" vertical="center"/>
    </xf>
    <xf numFmtId="0" fontId="28" fillId="0" borderId="10" xfId="0" applyFont="1" applyBorder="1" applyAlignment="1">
      <alignment horizontal="center" vertical="center"/>
    </xf>
    <xf numFmtId="0" fontId="15" fillId="0" borderId="0" xfId="0" applyFont="1" applyAlignment="1">
      <alignment horizontal="center" vertical="center"/>
    </xf>
    <xf numFmtId="0" fontId="24" fillId="0" borderId="10" xfId="0" applyFont="1" applyBorder="1" applyAlignment="1">
      <alignment horizontal="center" vertical="center" wrapText="1"/>
    </xf>
    <xf numFmtId="0" fontId="4" fillId="0" borderId="15" xfId="0" applyFont="1" applyBorder="1" applyAlignment="1">
      <alignment horizontal="center" vertical="center"/>
    </xf>
    <xf numFmtId="0" fontId="7" fillId="0" borderId="0" xfId="0" applyFont="1" applyAlignment="1">
      <alignment horizontal="center" vertical="center"/>
    </xf>
    <xf numFmtId="0" fontId="31" fillId="0" borderId="0" xfId="0" applyFont="1" applyAlignment="1">
      <alignment horizontal="center" vertical="center"/>
    </xf>
    <xf numFmtId="0" fontId="4" fillId="0" borderId="0" xfId="0" applyFont="1" applyAlignment="1">
      <alignment horizontal="center" vertical="center"/>
    </xf>
    <xf numFmtId="0" fontId="34" fillId="0" borderId="0" xfId="0" applyFont="1" applyAlignment="1">
      <alignment horizontal="right" vertical="center" wrapText="1"/>
    </xf>
    <xf numFmtId="0" fontId="16" fillId="0" borderId="0" xfId="0" applyFont="1" applyAlignment="1">
      <alignment horizontal="center" vertical="center" wrapText="1"/>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0" fontId="4" fillId="0" borderId="33" xfId="0" applyFont="1" applyBorder="1" applyAlignment="1">
      <alignment horizontal="right" vertical="center" wrapText="1"/>
    </xf>
    <xf numFmtId="0" fontId="7" fillId="0" borderId="10" xfId="63" applyFont="1" applyFill="1" applyBorder="1" applyAlignment="1">
      <alignment horizontal="center" vertical="center" wrapText="1"/>
      <protection/>
    </xf>
    <xf numFmtId="0" fontId="11" fillId="0" borderId="0" xfId="0" applyFont="1" applyFill="1" applyAlignment="1">
      <alignment horizontal="center" vertical="center" wrapText="1"/>
    </xf>
    <xf numFmtId="0" fontId="34" fillId="0" borderId="0" xfId="0" applyFont="1" applyFill="1" applyAlignment="1">
      <alignment horizontal="right" vertical="center" wrapText="1"/>
    </xf>
    <xf numFmtId="0" fontId="7" fillId="0" borderId="23" xfId="63" applyFont="1" applyFill="1" applyBorder="1" applyAlignment="1">
      <alignment horizontal="center" vertical="center" wrapText="1"/>
      <protection/>
    </xf>
    <xf numFmtId="0" fontId="7" fillId="0" borderId="22" xfId="63" applyFont="1" applyFill="1" applyBorder="1" applyAlignment="1">
      <alignment horizontal="center" vertical="center" wrapText="1"/>
      <protection/>
    </xf>
    <xf numFmtId="0" fontId="7" fillId="0" borderId="28" xfId="63" applyFont="1" applyFill="1" applyBorder="1" applyAlignment="1">
      <alignment horizontal="center" vertical="center" wrapText="1"/>
      <protection/>
    </xf>
    <xf numFmtId="3" fontId="7" fillId="0" borderId="29" xfId="63" applyNumberFormat="1" applyFont="1" applyFill="1" applyBorder="1" applyAlignment="1">
      <alignment horizontal="center" vertical="center"/>
      <protection/>
    </xf>
    <xf numFmtId="3" fontId="7" fillId="0" borderId="21" xfId="63" applyNumberFormat="1" applyFont="1" applyFill="1" applyBorder="1" applyAlignment="1">
      <alignment horizontal="center" vertical="center"/>
      <protection/>
    </xf>
    <xf numFmtId="0" fontId="47"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34" borderId="0" xfId="0" applyFont="1" applyFill="1" applyAlignment="1">
      <alignment horizontal="center" vertical="center"/>
    </xf>
    <xf numFmtId="0" fontId="7" fillId="34" borderId="0" xfId="0" applyFont="1" applyFill="1" applyAlignment="1">
      <alignment horizontal="center" vertical="center"/>
    </xf>
    <xf numFmtId="0" fontId="16" fillId="34" borderId="0" xfId="0" applyFont="1" applyFill="1" applyAlignment="1">
      <alignment horizontal="center" vertical="center"/>
    </xf>
    <xf numFmtId="0" fontId="11" fillId="34" borderId="23"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28" xfId="0" applyFont="1" applyFill="1" applyBorder="1" applyAlignment="1">
      <alignment horizontal="center" vertical="center"/>
    </xf>
    <xf numFmtId="0" fontId="11" fillId="34" borderId="23"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30" fillId="34" borderId="29" xfId="0" applyFont="1" applyFill="1" applyBorder="1" applyAlignment="1">
      <alignment horizontal="center" vertical="center"/>
    </xf>
    <xf numFmtId="0" fontId="30" fillId="34" borderId="32" xfId="0" applyFont="1" applyFill="1" applyBorder="1" applyAlignment="1">
      <alignment horizontal="center" vertical="center"/>
    </xf>
    <xf numFmtId="0" fontId="30" fillId="34" borderId="21" xfId="0" applyFont="1" applyFill="1" applyBorder="1" applyAlignment="1">
      <alignment horizontal="center" vertical="center"/>
    </xf>
    <xf numFmtId="0" fontId="30"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30" fillId="34" borderId="23" xfId="0" applyFont="1" applyFill="1" applyBorder="1" applyAlignment="1">
      <alignment horizontal="center" vertical="center" wrapText="1"/>
    </xf>
    <xf numFmtId="0" fontId="30" fillId="34" borderId="28" xfId="0" applyFont="1" applyFill="1" applyBorder="1" applyAlignment="1">
      <alignment horizontal="center" vertical="center" wrapText="1"/>
    </xf>
    <xf numFmtId="0" fontId="34" fillId="34" borderId="15" xfId="0" applyFont="1" applyFill="1" applyBorder="1" applyAlignment="1">
      <alignment horizontal="right" vertical="center"/>
    </xf>
    <xf numFmtId="0" fontId="2" fillId="34" borderId="23" xfId="0" applyFont="1" applyFill="1" applyBorder="1" applyAlignment="1">
      <alignment horizontal="center" vertical="center" wrapText="1"/>
    </xf>
    <xf numFmtId="0" fontId="2" fillId="34" borderId="28" xfId="0" applyFont="1" applyFill="1" applyBorder="1" applyAlignment="1">
      <alignment horizontal="center"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6"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2_PL 06 -50" xfId="60"/>
    <cellStyle name="Normal 3" xfId="61"/>
    <cellStyle name="Normal 4" xfId="62"/>
    <cellStyle name="Normal 6" xfId="63"/>
    <cellStyle name="Normal_57-TX" xfId="64"/>
    <cellStyle name="Normal_HMKP-LENH CHI khoi truong hoc - PHUONG" xfId="65"/>
    <cellStyle name="Normal_KPHM+LENH CHI 2014(THAO) 2 2" xfId="66"/>
    <cellStyle name="Normal_MAU SO 01_QTNS 2013 IN" xfId="67"/>
    <cellStyle name="Normal_NSĐP năm 2014 - PL08 (03-2015)" xfId="68"/>
    <cellStyle name="Normal_PL 06 -50 - CB chuyen quan nhap (2014)- Lan-NguônSn" xfId="69"/>
    <cellStyle name="Normal_Sheet1 2" xfId="70"/>
    <cellStyle name="Note" xfId="71"/>
    <cellStyle name="Output" xfId="72"/>
    <cellStyle name="Percent" xfId="73"/>
    <cellStyle name="Percent 2" xfId="74"/>
    <cellStyle name="Percent 7" xfId="75"/>
    <cellStyle name="Title" xfId="76"/>
    <cellStyle name="Total"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14</xdr:row>
      <xdr:rowOff>0</xdr:rowOff>
    </xdr:from>
    <xdr:to>
      <xdr:col>14</xdr:col>
      <xdr:colOff>419100</xdr:colOff>
      <xdr:row>23</xdr:row>
      <xdr:rowOff>180975</xdr:rowOff>
    </xdr:to>
    <xdr:sp>
      <xdr:nvSpPr>
        <xdr:cNvPr id="1" name="Line 1"/>
        <xdr:cNvSpPr>
          <a:spLocks/>
        </xdr:cNvSpPr>
      </xdr:nvSpPr>
      <xdr:spPr>
        <a:xfrm>
          <a:off x="1209675" y="3467100"/>
          <a:ext cx="6648450"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M\NAM%202022\05.KHOA%20SO%20QUYET%20TOAN%20NAM%202021\TONG%20QUYET%20TOAN%20NGAN%20SACH%20NAM%202021%20(CHINH%20LAI%20NGAY%2006-6)\1.%20TH%20BIEU%20QT2021-%20ND31%20(chinh%20lai%2006-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M\NAM%202022\05.KHOA%20SO%20QUYET%20TOAN%20NAM%202021\TONG%20QUYET%20TOAN%20NGAN%20SACH%20NAM%202021%20(CHINH%20LAI%20NGAY%2006-6)\0.%20TH%20BIEU%20QT2020-TT342%20(3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36.199.1\soft\Users\Administrator\Dropbox\0.%20TONG%20QUYET%20TOAN%202019\1.%20TQT%20THU%20NSTX%202018\TQT%20THU%20NSTX%2020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AM\NAM%202022\05.KHOA%20SO%20QUYET%20TOAN%20NAM%202021\1.%20TH%20BIEU%20QT2021-%20ND31%20(chanh).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am%202022\tong%20quyet%20toan%20nam%202021\Tong%20hop%20QT%202021%20xa%20phuong%20g&#7917;i%20STC(11-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AM\NAM%202022\05.KHOA%20SO%20QUYET%20TOAN%20NAM%202021\TONG%20QUYET%20TOAN%20NGAN%20SACH%20NAM%202021%20(CHINH%20LAI%20NGAY%2006-6)\000.%20TH%20BIEU%20QT2021-TT34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AM\NAM%202022\05.KHOA%20SO%20QUYET%20TOAN%20NAM%202021\TONG%20QUYET%20TOAN%20NGAN%20SACH%20NAM%202021%20(CHINH%20LAI%20NGAY%2006-6)\0.%20TH%20BIEU%20QT2021-TT34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AM\NAM%202022\05.KHOA%20SO%20QUYET%20TOAN%20NAM%202021\TONG%20QUYET%20TOAN%20NGAN%20SACH%20NAM%202021%20(CHINH%20LAI%20NGAY%2006-6)\000.%20TH%20BIEU%20QT2021-TT342%20(chinh%20lai%2006-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YEN%20TAM\NAM%202022\KIEM%20TOAN%20NHA%20NUOC\KIEM%20TOAN%202022\KIEM%20TOAN%20NGAN%20SACH\CUNG%20CAP%20SO%20LIEU%20ANH%20NINH\HO%20SO%20CUNG%20CAP%20KIEM%20TOAN\0.%20TH%20BIEU%20QT2021-TT342-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8-CD"/>
      <sheetName val="49"/>
      <sheetName val="50-THU"/>
      <sheetName val="51"/>
      <sheetName val="52"/>
      <sheetName val="53"/>
      <sheetName val="54"/>
      <sheetName val="55-XDCB"/>
      <sheetName val="56"/>
      <sheetName val="57"/>
      <sheetName val="58"/>
      <sheetName val="59"/>
      <sheetName val="60-THU BS"/>
      <sheetName val="61-CTMT"/>
      <sheetName val="62-XDCB"/>
      <sheetName val="63-k"/>
      <sheetName val="64"/>
    </sheetNames>
    <sheetDataSet>
      <sheetData sheetId="0">
        <row r="19">
          <cell r="D19">
            <v>114265779155</v>
          </cell>
        </row>
        <row r="20">
          <cell r="D20">
            <v>150737420546</v>
          </cell>
        </row>
        <row r="21">
          <cell r="F21">
            <v>2906464209</v>
          </cell>
        </row>
        <row r="33">
          <cell r="D33">
            <v>200546150936</v>
          </cell>
        </row>
        <row r="34">
          <cell r="D34">
            <v>9328866497</v>
          </cell>
        </row>
      </sheetData>
      <sheetData sheetId="1">
        <row r="23">
          <cell r="D23">
            <v>222190779398</v>
          </cell>
        </row>
        <row r="26">
          <cell r="E26">
            <v>181965936467</v>
          </cell>
        </row>
        <row r="34">
          <cell r="C34">
            <v>78796000000</v>
          </cell>
          <cell r="D34">
            <v>78796000000</v>
          </cell>
        </row>
        <row r="45">
          <cell r="F45">
            <v>18580214469</v>
          </cell>
        </row>
      </sheetData>
      <sheetData sheetId="3">
        <row r="33">
          <cell r="E33">
            <v>181965936467</v>
          </cell>
        </row>
      </sheetData>
      <sheetData sheetId="4">
        <row r="46">
          <cell r="C46">
            <v>17050169059</v>
          </cell>
        </row>
      </sheetData>
      <sheetData sheetId="7">
        <row r="8">
          <cell r="M8">
            <v>60530759000</v>
          </cell>
          <cell r="O8">
            <v>278616000</v>
          </cell>
          <cell r="P8">
            <v>6298190000</v>
          </cell>
          <cell r="R8">
            <v>4537730000</v>
          </cell>
        </row>
      </sheetData>
      <sheetData sheetId="8">
        <row r="11">
          <cell r="H11">
            <v>245038826491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60"/>
      <sheetName val="61-THU"/>
      <sheetName val="62 "/>
      <sheetName val="63-MLNS"/>
      <sheetName val="64"/>
      <sheetName val="65"/>
      <sheetName val="67"/>
      <sheetName val="66"/>
      <sheetName val="68"/>
      <sheetName val="69"/>
      <sheetName val="70-1"/>
      <sheetName val="70-TX"/>
      <sheetName val="70-XA"/>
      <sheetName val="CN. STC"/>
      <sheetName val="TM.CHI KHÁC"/>
      <sheetName val="KẾT DƯ"/>
      <sheetName val="TAM UNG"/>
      <sheetName val="CCTL"/>
      <sheetName val="TM CCTL"/>
    </sheetNames>
    <sheetDataSet>
      <sheetData sheetId="1">
        <row r="53">
          <cell r="E53">
            <v>2500000000</v>
          </cell>
        </row>
        <row r="55">
          <cell r="E55">
            <v>2000000000</v>
          </cell>
        </row>
        <row r="63">
          <cell r="E63">
            <v>150000000</v>
          </cell>
        </row>
        <row r="74">
          <cell r="E74">
            <v>30000000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61-342"/>
      <sheetName val="61-lk"/>
      <sheetName val="63-342"/>
      <sheetName val="63-342 (2)"/>
      <sheetName val="50-ND31"/>
      <sheetName val="60-ND31"/>
      <sheetName val="TM THU KHAC"/>
      <sheetName val="TM THU PHÍ-LỆ PHÍ (2)"/>
      <sheetName val="TY LỆ DIỀU TIẾT"/>
      <sheetName val="Sheet2"/>
    </sheetNames>
    <sheetDataSet>
      <sheetData sheetId="1">
        <row r="74">
          <cell r="E74">
            <v>30000000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8-CD"/>
      <sheetName val="49"/>
      <sheetName val="50-THU"/>
      <sheetName val="51"/>
      <sheetName val="52"/>
      <sheetName val="53"/>
      <sheetName val="54"/>
      <sheetName val="55-XDCB"/>
      <sheetName val="56"/>
      <sheetName val="57"/>
      <sheetName val="58"/>
      <sheetName val="59"/>
      <sheetName val="60-THU BS"/>
      <sheetName val="61-CTMT"/>
      <sheetName val="62-XDCB"/>
      <sheetName val="63-k"/>
      <sheetName val="64"/>
    </sheetNames>
    <sheetDataSet>
      <sheetData sheetId="5">
        <row r="24">
          <cell r="G24">
            <v>4000000000</v>
          </cell>
        </row>
        <row r="46">
          <cell r="D46">
            <v>218279000</v>
          </cell>
        </row>
      </sheetData>
      <sheetData sheetId="7">
        <row r="8">
          <cell r="E8">
            <v>298800500062</v>
          </cell>
          <cell r="M8">
            <v>60530759000</v>
          </cell>
        </row>
        <row r="9">
          <cell r="I9">
            <v>107049000000</v>
          </cell>
        </row>
        <row r="10">
          <cell r="L10">
            <v>75948979000</v>
          </cell>
        </row>
        <row r="91">
          <cell r="G91">
            <v>27028578000</v>
          </cell>
          <cell r="L91">
            <v>26694862000</v>
          </cell>
        </row>
        <row r="148">
          <cell r="E148">
            <v>2650000000</v>
          </cell>
          <cell r="L148">
            <v>2650000000</v>
          </cell>
        </row>
        <row r="153">
          <cell r="I153">
            <v>53442000000</v>
          </cell>
          <cell r="L153">
            <v>46006901000</v>
          </cell>
        </row>
        <row r="173">
          <cell r="G173">
            <v>9569578000</v>
          </cell>
        </row>
        <row r="174">
          <cell r="L174">
            <v>8057214000</v>
          </cell>
        </row>
        <row r="181">
          <cell r="L181">
            <v>1293170000</v>
          </cell>
        </row>
        <row r="187">
          <cell r="G187">
            <v>218279000</v>
          </cell>
          <cell r="L187">
            <v>24412000</v>
          </cell>
        </row>
        <row r="194">
          <cell r="H194">
            <v>13029000000</v>
          </cell>
          <cell r="L194">
            <v>13029000000</v>
          </cell>
        </row>
        <row r="200">
          <cell r="I200">
            <v>49211581000</v>
          </cell>
          <cell r="L200">
            <v>42806289000</v>
          </cell>
        </row>
        <row r="213">
          <cell r="I213">
            <v>4581000</v>
          </cell>
        </row>
        <row r="214">
          <cell r="G214">
            <v>22819763062</v>
          </cell>
          <cell r="L214">
            <v>18864892062</v>
          </cell>
        </row>
        <row r="227">
          <cell r="H227">
            <v>13001000000</v>
          </cell>
          <cell r="L227">
            <v>5720488000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7-CĐ"/>
      <sheetName val="08-TH thu"/>
      <sheetName val="08-TH thu (2)"/>
      <sheetName val="09-TH chi"/>
      <sheetName val="Ketdu"/>
      <sheetName val="TM ketdu"/>
      <sheetName val="CNguon"/>
      <sheetName val="CNguon (theo nguon)"/>
      <sheetName val="12-QTXDCB"/>
      <sheetName val="Mau 70-tt342 (theo nguon)"/>
      <sheetName val="10-TH thu"/>
      <sheetName val="10-TH thu (2)"/>
      <sheetName val="11-Chi tiet chi"/>
      <sheetName val="11-Chi tiet chi (2)"/>
      <sheetName val="TM DPTT"/>
      <sheetName val="QT chi bsung "/>
      <sheetName val="65-CTMT"/>
      <sheetName val="13-thuchi TC khac"/>
      <sheetName val="TM thu khac (4944)"/>
      <sheetName val="TM thu khac"/>
      <sheetName val="TM thu phi le phi"/>
      <sheetName val="TM chi khac"/>
      <sheetName val="Sheet1"/>
    </sheetNames>
    <sheetDataSet>
      <sheetData sheetId="7">
        <row r="12">
          <cell r="C12">
            <v>1844586204</v>
          </cell>
        </row>
        <row r="16">
          <cell r="C16">
            <v>3560833349</v>
          </cell>
        </row>
        <row r="19">
          <cell r="C19">
            <v>2654349300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60"/>
      <sheetName val="61-THU"/>
      <sheetName val="62 "/>
      <sheetName val="63-MLNS"/>
      <sheetName val="64"/>
      <sheetName val="65"/>
      <sheetName val="66"/>
      <sheetName val="67"/>
      <sheetName val="68"/>
      <sheetName val="69"/>
      <sheetName val="70-1"/>
      <sheetName val="70-TP (2)"/>
      <sheetName val="70-XA"/>
      <sheetName val="CN.STC"/>
      <sheetName val="TM. CHI KHAC"/>
      <sheetName val="KẾT DƯ (dang lam) "/>
      <sheetName val="TAM UNG"/>
      <sheetName val="CCTL"/>
      <sheetName val="TM CCTL"/>
      <sheetName val="KẾT DƯ"/>
      <sheetName val="70-TP"/>
      <sheetName val="CN.STC (2)"/>
      <sheetName val="TM.CHI KHÁC"/>
      <sheetName val="KẾT DƯ "/>
    </sheetNames>
    <sheetDataSet>
      <sheetData sheetId="2">
        <row r="32">
          <cell r="F32">
            <v>15045000000</v>
          </cell>
          <cell r="J32">
            <v>17375728000</v>
          </cell>
          <cell r="O32">
            <v>20576548964</v>
          </cell>
          <cell r="P32">
            <v>18271699409</v>
          </cell>
        </row>
        <row r="33">
          <cell r="F33">
            <v>2744000000</v>
          </cell>
          <cell r="J33">
            <v>8430000000</v>
          </cell>
          <cell r="O33">
            <v>4870130000</v>
          </cell>
          <cell r="P33">
            <v>6222167148</v>
          </cell>
        </row>
        <row r="34">
          <cell r="F34">
            <v>261304000000</v>
          </cell>
          <cell r="O34">
            <v>245038826491</v>
          </cell>
        </row>
        <row r="39">
          <cell r="F39">
            <v>100000000</v>
          </cell>
        </row>
        <row r="40">
          <cell r="F40">
            <v>4500000000</v>
          </cell>
          <cell r="O40">
            <v>26596842896</v>
          </cell>
          <cell r="P40">
            <v>2000000</v>
          </cell>
        </row>
        <row r="41">
          <cell r="F41">
            <v>12177000000</v>
          </cell>
          <cell r="J41">
            <v>956135500</v>
          </cell>
          <cell r="O41">
            <v>5786261525</v>
          </cell>
          <cell r="P41">
            <v>2607611430</v>
          </cell>
        </row>
        <row r="42">
          <cell r="F42">
            <v>1040000000</v>
          </cell>
          <cell r="J42">
            <v>487000000</v>
          </cell>
          <cell r="O42">
            <v>954586352</v>
          </cell>
          <cell r="P42">
            <v>686980500</v>
          </cell>
        </row>
        <row r="43">
          <cell r="F43">
            <v>5076000000</v>
          </cell>
          <cell r="J43">
            <v>433000000</v>
          </cell>
          <cell r="O43">
            <v>5216552000</v>
          </cell>
          <cell r="P43">
            <v>1033520873</v>
          </cell>
        </row>
        <row r="44">
          <cell r="F44">
            <v>30192000000</v>
          </cell>
          <cell r="J44">
            <v>1146000000</v>
          </cell>
          <cell r="O44">
            <v>30246114853</v>
          </cell>
          <cell r="P44">
            <v>1236108680</v>
          </cell>
        </row>
        <row r="45">
          <cell r="F45">
            <v>114041000000</v>
          </cell>
          <cell r="J45">
            <v>24413056300</v>
          </cell>
          <cell r="O45">
            <v>79613046613</v>
          </cell>
          <cell r="P45">
            <v>25115776105</v>
          </cell>
        </row>
        <row r="56">
          <cell r="F56">
            <v>95554000000</v>
          </cell>
          <cell r="J56">
            <v>79520240598</v>
          </cell>
          <cell r="O56">
            <v>50748920977</v>
          </cell>
          <cell r="P56">
            <v>83257711716</v>
          </cell>
        </row>
        <row r="61">
          <cell r="F61">
            <v>37806000000</v>
          </cell>
          <cell r="J61">
            <v>89200200000</v>
          </cell>
          <cell r="O61">
            <v>93725342940</v>
          </cell>
          <cell r="P61">
            <v>93494603226</v>
          </cell>
        </row>
        <row r="62">
          <cell r="F62">
            <v>24890000000</v>
          </cell>
          <cell r="J62">
            <v>8600000000</v>
          </cell>
          <cell r="O62">
            <v>741162000</v>
          </cell>
        </row>
        <row r="63">
          <cell r="F63">
            <v>13886000000</v>
          </cell>
          <cell r="J63">
            <v>2214000000</v>
          </cell>
        </row>
        <row r="66">
          <cell r="F66">
            <v>66092633708</v>
          </cell>
          <cell r="J66">
            <v>13369067244</v>
          </cell>
        </row>
        <row r="67">
          <cell r="F67">
            <v>5727000000</v>
          </cell>
          <cell r="J67">
            <v>3298286565</v>
          </cell>
        </row>
        <row r="69">
          <cell r="F69">
            <v>17050169059</v>
          </cell>
          <cell r="J69">
            <v>1807000000</v>
          </cell>
        </row>
        <row r="76">
          <cell r="F76">
            <v>7622000000</v>
          </cell>
          <cell r="O76">
            <v>9328866497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60"/>
      <sheetName val="61-THU"/>
      <sheetName val="62 "/>
      <sheetName val="63-MLNS"/>
      <sheetName val="64"/>
      <sheetName val="65"/>
      <sheetName val="66"/>
      <sheetName val="67"/>
      <sheetName val="68"/>
      <sheetName val="69"/>
      <sheetName val="70-1"/>
      <sheetName val="70-TX"/>
      <sheetName val="70-XA"/>
      <sheetName val="CN. STC"/>
      <sheetName val="TM.CHI KHÁC"/>
      <sheetName val="KẾT DƯ"/>
      <sheetName val="TAM UNG"/>
      <sheetName val="CCTL"/>
      <sheetName val="TM CCTL"/>
    </sheetNames>
    <sheetDataSet>
      <sheetData sheetId="1">
        <row r="14">
          <cell r="K14">
            <v>18797972465</v>
          </cell>
        </row>
        <row r="35">
          <cell r="J35">
            <v>39194262948</v>
          </cell>
        </row>
        <row r="36">
          <cell r="J36">
            <v>80278134</v>
          </cell>
        </row>
        <row r="37">
          <cell r="J37">
            <v>16318532821</v>
          </cell>
        </row>
        <row r="38">
          <cell r="J38">
            <v>7298341553</v>
          </cell>
        </row>
        <row r="52">
          <cell r="J52">
            <v>44190080711</v>
          </cell>
        </row>
        <row r="54">
          <cell r="J54">
            <v>215257970</v>
          </cell>
        </row>
        <row r="55">
          <cell r="J55">
            <v>27727234494</v>
          </cell>
        </row>
        <row r="56">
          <cell r="J56">
            <v>678380896</v>
          </cell>
        </row>
        <row r="57">
          <cell r="J57">
            <v>7540947030</v>
          </cell>
        </row>
        <row r="62">
          <cell r="J62">
            <v>79788193042</v>
          </cell>
        </row>
        <row r="64">
          <cell r="J64">
            <v>58305703</v>
          </cell>
        </row>
        <row r="70">
          <cell r="J70">
            <v>0</v>
          </cell>
        </row>
        <row r="77">
          <cell r="J77">
            <v>2844874026</v>
          </cell>
        </row>
        <row r="109">
          <cell r="K109">
            <v>2906464209</v>
          </cell>
        </row>
        <row r="123">
          <cell r="J123">
            <v>449180500000</v>
          </cell>
          <cell r="K123">
            <v>78796000000</v>
          </cell>
        </row>
        <row r="125">
          <cell r="J125">
            <v>426853000000</v>
          </cell>
          <cell r="K125">
            <v>143394779398</v>
          </cell>
        </row>
        <row r="129">
          <cell r="J129">
            <v>125510552770</v>
          </cell>
          <cell r="K129">
            <v>25226867776</v>
          </cell>
        </row>
        <row r="130">
          <cell r="J130">
            <v>110967492590</v>
          </cell>
          <cell r="K130">
            <v>3298286565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60"/>
      <sheetName val="61-THU"/>
      <sheetName val="62 "/>
      <sheetName val="63-MLNS"/>
      <sheetName val="64"/>
      <sheetName val="65"/>
      <sheetName val="66"/>
      <sheetName val="67"/>
      <sheetName val="68"/>
      <sheetName val="69"/>
      <sheetName val="70-1"/>
      <sheetName val="70-TP (2)"/>
      <sheetName val="70-XA"/>
      <sheetName val="CN.STC"/>
      <sheetName val="TM. CHI KHAC"/>
      <sheetName val=" KET DU"/>
      <sheetName val="TAM UNG"/>
      <sheetName val="CCTL"/>
      <sheetName val="TM CCTL"/>
      <sheetName val="KẾT DƯ"/>
    </sheetNames>
    <sheetDataSet>
      <sheetData sheetId="0">
        <row r="20">
          <cell r="I20">
            <v>181965936467</v>
          </cell>
          <cell r="J20">
            <v>18580214469</v>
          </cell>
        </row>
      </sheetData>
      <sheetData sheetId="10">
        <row r="9">
          <cell r="D9">
            <v>181965936467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60"/>
      <sheetName val="61-THU"/>
      <sheetName val="62 "/>
    </sheetNames>
    <sheetDataSet>
      <sheetData sheetId="0">
        <row r="22">
          <cell r="E22">
            <v>78796000000</v>
          </cell>
        </row>
        <row r="23">
          <cell r="E23">
            <v>143394779398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K34"/>
  <sheetViews>
    <sheetView tabSelected="1" zoomScalePageLayoutView="0" workbookViewId="0" topLeftCell="A1">
      <selection activeCell="G6" sqref="G6"/>
    </sheetView>
  </sheetViews>
  <sheetFormatPr defaultColWidth="10.8515625" defaultRowHeight="12.75"/>
  <cols>
    <col min="1" max="1" width="6.28125" style="37" customWidth="1"/>
    <col min="2" max="2" width="49.140625" style="37" customWidth="1"/>
    <col min="3" max="3" width="14.8515625" style="38" customWidth="1"/>
    <col min="4" max="4" width="15.00390625" style="38" customWidth="1"/>
    <col min="5" max="5" width="10.57421875" style="38" customWidth="1"/>
    <col min="6" max="6" width="10.8515625" style="37" customWidth="1"/>
    <col min="7" max="7" width="19.57421875" style="37" customWidth="1"/>
    <col min="8" max="16384" width="10.8515625" style="37" customWidth="1"/>
  </cols>
  <sheetData>
    <row r="1" spans="1:5" ht="18.75" customHeight="1">
      <c r="A1" s="36" t="s">
        <v>490</v>
      </c>
      <c r="D1" s="439" t="s">
        <v>60</v>
      </c>
      <c r="E1" s="439"/>
    </row>
    <row r="2" ht="15" customHeight="1">
      <c r="A2" s="36" t="s">
        <v>489</v>
      </c>
    </row>
    <row r="3" ht="15" customHeight="1">
      <c r="A3" s="39"/>
    </row>
    <row r="4" spans="1:5" ht="18.75">
      <c r="A4" s="440" t="s">
        <v>555</v>
      </c>
      <c r="B4" s="440"/>
      <c r="C4" s="440"/>
      <c r="D4" s="440"/>
      <c r="E4" s="440"/>
    </row>
    <row r="5" spans="1:5" ht="15" customHeight="1">
      <c r="A5" s="441" t="s">
        <v>36</v>
      </c>
      <c r="B5" s="441"/>
      <c r="C5" s="441"/>
      <c r="D5" s="441"/>
      <c r="E5" s="441"/>
    </row>
    <row r="6" spans="1:11" ht="20.25" customHeight="1">
      <c r="A6" s="442" t="s">
        <v>605</v>
      </c>
      <c r="B6" s="442"/>
      <c r="C6" s="442"/>
      <c r="D6" s="442"/>
      <c r="E6" s="442"/>
      <c r="F6" s="83"/>
      <c r="G6" s="83"/>
      <c r="H6" s="83"/>
      <c r="I6" s="83"/>
      <c r="J6" s="83"/>
      <c r="K6" s="83"/>
    </row>
    <row r="7" ht="23.25" customHeight="1">
      <c r="E7" s="40" t="s">
        <v>554</v>
      </c>
    </row>
    <row r="8" spans="1:5" ht="33">
      <c r="A8" s="1" t="s">
        <v>0</v>
      </c>
      <c r="B8" s="1" t="s">
        <v>1</v>
      </c>
      <c r="C8" s="27" t="s">
        <v>62</v>
      </c>
      <c r="D8" s="27" t="s">
        <v>4</v>
      </c>
      <c r="E8" s="27" t="s">
        <v>23</v>
      </c>
    </row>
    <row r="9" spans="1:5" s="54" customFormat="1" ht="15">
      <c r="A9" s="52" t="s">
        <v>9</v>
      </c>
      <c r="B9" s="52" t="s">
        <v>20</v>
      </c>
      <c r="C9" s="53">
        <v>1</v>
      </c>
      <c r="D9" s="53">
        <v>2</v>
      </c>
      <c r="E9" s="53" t="s">
        <v>24</v>
      </c>
    </row>
    <row r="10" spans="1:5" ht="20.25" customHeight="1">
      <c r="A10" s="1" t="s">
        <v>9</v>
      </c>
      <c r="B10" s="3" t="s">
        <v>103</v>
      </c>
      <c r="C10" s="167">
        <f>C11+C14+C18+C19</f>
        <v>1063417500000</v>
      </c>
      <c r="D10" s="167">
        <f>D11+D14+D18+D19+D20+D21</f>
        <v>1388675825703</v>
      </c>
      <c r="E10" s="50">
        <f>D10/C10*100</f>
        <v>130.58613627319468</v>
      </c>
    </row>
    <row r="11" spans="1:5" s="42" customFormat="1" ht="33" customHeight="1">
      <c r="A11" s="1">
        <v>1</v>
      </c>
      <c r="B11" s="3" t="s">
        <v>484</v>
      </c>
      <c r="C11" s="167">
        <f>C12+C13</f>
        <v>187384000000</v>
      </c>
      <c r="D11" s="167">
        <f>D12+D13</f>
        <v>244732661793</v>
      </c>
      <c r="E11" s="50">
        <f aca="true" t="shared" si="0" ref="E11:E16">D11/C11*100</f>
        <v>130.6048871798019</v>
      </c>
    </row>
    <row r="12" spans="1:5" ht="22.5" customHeight="1">
      <c r="A12" s="2" t="s">
        <v>31</v>
      </c>
      <c r="B12" s="4" t="s">
        <v>485</v>
      </c>
      <c r="C12" s="168">
        <v>54980000000</v>
      </c>
      <c r="D12" s="168">
        <v>80945779458</v>
      </c>
      <c r="E12" s="51">
        <f t="shared" si="0"/>
        <v>147.22768180793017</v>
      </c>
    </row>
    <row r="13" spans="1:5" ht="38.25" customHeight="1">
      <c r="A13" s="2" t="s">
        <v>31</v>
      </c>
      <c r="B13" s="4" t="s">
        <v>486</v>
      </c>
      <c r="C13" s="168">
        <v>132404000000</v>
      </c>
      <c r="D13" s="168">
        <v>163786882335</v>
      </c>
      <c r="E13" s="51">
        <f t="shared" si="0"/>
        <v>123.7023672509894</v>
      </c>
    </row>
    <row r="14" spans="1:5" s="42" customFormat="1" ht="22.5" customHeight="1">
      <c r="A14" s="1">
        <v>2</v>
      </c>
      <c r="B14" s="3" t="s">
        <v>63</v>
      </c>
      <c r="C14" s="167">
        <f>C15+C16</f>
        <v>876033500000</v>
      </c>
      <c r="D14" s="167">
        <f>D15+D16+D17</f>
        <v>876033500000</v>
      </c>
      <c r="E14" s="50">
        <f t="shared" si="0"/>
        <v>100</v>
      </c>
    </row>
    <row r="15" spans="1:5" ht="22.5" customHeight="1">
      <c r="A15" s="2" t="s">
        <v>31</v>
      </c>
      <c r="B15" s="4" t="s">
        <v>64</v>
      </c>
      <c r="C15" s="168">
        <v>449180500000</v>
      </c>
      <c r="D15" s="168">
        <f>C15</f>
        <v>449180500000</v>
      </c>
      <c r="E15" s="51">
        <f t="shared" si="0"/>
        <v>100</v>
      </c>
    </row>
    <row r="16" spans="1:5" ht="22.5" customHeight="1">
      <c r="A16" s="2" t="s">
        <v>31</v>
      </c>
      <c r="B16" s="4" t="s">
        <v>65</v>
      </c>
      <c r="C16" s="168">
        <v>426853000000</v>
      </c>
      <c r="D16" s="168">
        <f>C16</f>
        <v>426853000000</v>
      </c>
      <c r="E16" s="51">
        <f t="shared" si="0"/>
        <v>100</v>
      </c>
    </row>
    <row r="17" spans="1:5" ht="22.5" customHeight="1">
      <c r="A17" s="2" t="s">
        <v>31</v>
      </c>
      <c r="B17" s="4" t="s">
        <v>66</v>
      </c>
      <c r="C17" s="168"/>
      <c r="D17" s="168">
        <v>0</v>
      </c>
      <c r="E17" s="51"/>
    </row>
    <row r="18" spans="1:5" s="42" customFormat="1" ht="22.5" customHeight="1">
      <c r="A18" s="1">
        <v>3</v>
      </c>
      <c r="B18" s="3" t="s">
        <v>67</v>
      </c>
      <c r="C18" s="167"/>
      <c r="D18" s="167">
        <v>114265779155</v>
      </c>
      <c r="E18" s="50"/>
    </row>
    <row r="19" spans="1:5" ht="22.5" customHeight="1">
      <c r="A19" s="1">
        <v>4</v>
      </c>
      <c r="B19" s="3" t="s">
        <v>68</v>
      </c>
      <c r="C19" s="167"/>
      <c r="D19" s="167">
        <v>150737420546</v>
      </c>
      <c r="E19" s="50"/>
    </row>
    <row r="20" spans="1:5" ht="23.25" customHeight="1">
      <c r="A20" s="1">
        <v>5</v>
      </c>
      <c r="B20" s="3" t="s">
        <v>187</v>
      </c>
      <c r="C20" s="167"/>
      <c r="D20" s="167"/>
      <c r="E20" s="50"/>
    </row>
    <row r="21" spans="1:5" ht="23.25" customHeight="1">
      <c r="A21" s="1">
        <v>6</v>
      </c>
      <c r="B21" s="3" t="s">
        <v>188</v>
      </c>
      <c r="C21" s="167"/>
      <c r="D21" s="167">
        <v>2906464209</v>
      </c>
      <c r="E21" s="50"/>
    </row>
    <row r="22" spans="1:7" ht="23.25" customHeight="1">
      <c r="A22" s="1" t="s">
        <v>20</v>
      </c>
      <c r="B22" s="35" t="s">
        <v>488</v>
      </c>
      <c r="C22" s="169">
        <f>C23+C29+C32+C33+C34</f>
        <v>1097275000000</v>
      </c>
      <c r="D22" s="169">
        <f>D23+D29+D32+D33+D34</f>
        <v>1261689988193</v>
      </c>
      <c r="E22" s="41">
        <f>D22/C22*100</f>
        <v>114.98393640545899</v>
      </c>
      <c r="F22" s="44"/>
      <c r="G22" s="45"/>
    </row>
    <row r="23" spans="1:7" ht="21" customHeight="1">
      <c r="A23" s="1" t="s">
        <v>69</v>
      </c>
      <c r="B23" s="5" t="s">
        <v>487</v>
      </c>
      <c r="C23" s="169">
        <f>SUM(C24:C27)</f>
        <v>988115000000</v>
      </c>
      <c r="D23" s="169">
        <f>SUM(D24:D27)</f>
        <v>1051814970760</v>
      </c>
      <c r="E23" s="43">
        <f>D23/C23*100</f>
        <v>106.44661509642097</v>
      </c>
      <c r="G23" s="45"/>
    </row>
    <row r="24" spans="1:7" ht="21" customHeight="1">
      <c r="A24" s="1"/>
      <c r="B24" s="6" t="s">
        <v>16</v>
      </c>
      <c r="C24" s="169"/>
      <c r="D24" s="169"/>
      <c r="E24" s="43"/>
      <c r="G24" s="45"/>
    </row>
    <row r="25" spans="1:5" ht="21" customHeight="1">
      <c r="A25" s="2" t="s">
        <v>70</v>
      </c>
      <c r="B25" s="4" t="s">
        <v>11</v>
      </c>
      <c r="C25" s="170">
        <v>107049000000</v>
      </c>
      <c r="D25" s="170">
        <v>255772456062</v>
      </c>
      <c r="E25" s="43">
        <f>D25/C25*100</f>
        <v>238.93026190062497</v>
      </c>
    </row>
    <row r="26" spans="1:7" ht="21" customHeight="1">
      <c r="A26" s="2">
        <v>2</v>
      </c>
      <c r="B26" s="4" t="s">
        <v>15</v>
      </c>
      <c r="C26" s="170">
        <v>865735000000</v>
      </c>
      <c r="D26" s="170">
        <v>796042514698</v>
      </c>
      <c r="E26" s="43">
        <f>D26/C26*100</f>
        <v>91.9499055366827</v>
      </c>
      <c r="G26" s="46"/>
    </row>
    <row r="27" spans="1:7" ht="21.75" customHeight="1">
      <c r="A27" s="2">
        <v>3</v>
      </c>
      <c r="B27" s="4" t="s">
        <v>18</v>
      </c>
      <c r="C27" s="170">
        <v>15331000000</v>
      </c>
      <c r="D27" s="170"/>
      <c r="E27" s="47"/>
      <c r="G27" s="46"/>
    </row>
    <row r="28" spans="1:5" ht="21.75" customHeight="1">
      <c r="A28" s="2">
        <v>4</v>
      </c>
      <c r="B28" s="4" t="s">
        <v>189</v>
      </c>
      <c r="C28" s="170"/>
      <c r="D28" s="171" t="s">
        <v>31</v>
      </c>
      <c r="E28" s="43"/>
    </row>
    <row r="29" spans="1:5" ht="24" customHeight="1">
      <c r="A29" s="1" t="s">
        <v>14</v>
      </c>
      <c r="B29" s="3" t="s">
        <v>71</v>
      </c>
      <c r="C29" s="169"/>
      <c r="D29" s="169"/>
      <c r="E29" s="41"/>
    </row>
    <row r="30" spans="1:5" ht="24" customHeight="1">
      <c r="A30" s="2">
        <v>1</v>
      </c>
      <c r="B30" s="4" t="s">
        <v>72</v>
      </c>
      <c r="C30" s="170"/>
      <c r="D30" s="170"/>
      <c r="E30" s="48"/>
    </row>
    <row r="31" spans="1:5" ht="20.25" customHeight="1">
      <c r="A31" s="2">
        <v>2</v>
      </c>
      <c r="B31" s="4" t="s">
        <v>73</v>
      </c>
      <c r="C31" s="170"/>
      <c r="D31" s="170"/>
      <c r="E31" s="43"/>
    </row>
    <row r="32" spans="1:5" ht="30" customHeight="1">
      <c r="A32" s="1" t="s">
        <v>17</v>
      </c>
      <c r="B32" s="3" t="s">
        <v>74</v>
      </c>
      <c r="C32" s="169"/>
      <c r="D32" s="172">
        <v>200546150936</v>
      </c>
      <c r="E32" s="48"/>
    </row>
    <row r="33" spans="1:5" ht="25.5" customHeight="1">
      <c r="A33" s="1" t="s">
        <v>19</v>
      </c>
      <c r="B33" s="3" t="s">
        <v>107</v>
      </c>
      <c r="C33" s="169">
        <v>0</v>
      </c>
      <c r="D33" s="172">
        <v>9328866497</v>
      </c>
      <c r="E33" s="49"/>
    </row>
    <row r="34" spans="1:5" ht="22.5" customHeight="1">
      <c r="A34" s="1" t="s">
        <v>29</v>
      </c>
      <c r="B34" s="3" t="s">
        <v>298</v>
      </c>
      <c r="C34" s="172">
        <v>109160000000</v>
      </c>
      <c r="D34" s="171"/>
      <c r="E34" s="49"/>
    </row>
  </sheetData>
  <sheetProtection/>
  <mergeCells count="4">
    <mergeCell ref="D1:E1"/>
    <mergeCell ref="A4:E4"/>
    <mergeCell ref="A5:E5"/>
    <mergeCell ref="A6:E6"/>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R87"/>
  <sheetViews>
    <sheetView zoomScalePageLayoutView="0" workbookViewId="0" topLeftCell="A1">
      <selection activeCell="A5" sqref="A5:R5"/>
    </sheetView>
  </sheetViews>
  <sheetFormatPr defaultColWidth="10.00390625" defaultRowHeight="12.75"/>
  <cols>
    <col min="1" max="1" width="6.00390625" style="326" customWidth="1"/>
    <col min="2" max="2" width="34.28125" style="379" customWidth="1"/>
    <col min="3" max="3" width="11.28125" style="379" customWidth="1"/>
    <col min="4" max="4" width="13.57421875" style="379" customWidth="1"/>
    <col min="5" max="5" width="13.7109375" style="326" customWidth="1"/>
    <col min="6" max="6" width="13.421875" style="326" customWidth="1"/>
    <col min="7" max="7" width="18.28125" style="378" hidden="1" customWidth="1"/>
    <col min="8" max="8" width="18.140625" style="378" hidden="1" customWidth="1"/>
    <col min="9" max="9" width="17.28125" style="378" hidden="1" customWidth="1"/>
    <col min="10" max="10" width="12.28125" style="326" customWidth="1"/>
    <col min="11" max="11" width="19.140625" style="378" hidden="1" customWidth="1"/>
    <col min="12" max="12" width="18.28125" style="378" hidden="1" customWidth="1"/>
    <col min="13" max="13" width="18.57421875" style="378" hidden="1" customWidth="1"/>
    <col min="14" max="14" width="13.28125" style="326" customWidth="1"/>
    <col min="15" max="15" width="14.421875" style="326" customWidth="1"/>
    <col min="16" max="16" width="12.140625" style="326" customWidth="1"/>
    <col min="17" max="17" width="9.140625" style="326" customWidth="1"/>
    <col min="18" max="18" width="10.140625" style="326" customWidth="1"/>
    <col min="19" max="16384" width="10.00390625" style="326" customWidth="1"/>
  </cols>
  <sheetData>
    <row r="1" spans="1:18" ht="16.5" customHeight="1">
      <c r="A1" s="503" t="s">
        <v>534</v>
      </c>
      <c r="B1" s="503"/>
      <c r="C1" s="319"/>
      <c r="D1" s="320"/>
      <c r="E1" s="321"/>
      <c r="F1" s="321"/>
      <c r="G1" s="322"/>
      <c r="H1" s="322"/>
      <c r="I1" s="322"/>
      <c r="J1" s="321"/>
      <c r="K1" s="323"/>
      <c r="L1" s="323"/>
      <c r="M1" s="323"/>
      <c r="N1" s="324"/>
      <c r="O1" s="324"/>
      <c r="P1" s="324"/>
      <c r="Q1" s="380" t="s">
        <v>481</v>
      </c>
      <c r="R1" s="325"/>
    </row>
    <row r="2" spans="1:18" ht="16.5" customHeight="1">
      <c r="A2" s="504" t="s">
        <v>489</v>
      </c>
      <c r="B2" s="504"/>
      <c r="C2" s="319"/>
      <c r="D2" s="320"/>
      <c r="E2" s="321"/>
      <c r="F2" s="321"/>
      <c r="G2" s="322"/>
      <c r="H2" s="322"/>
      <c r="I2" s="322"/>
      <c r="J2" s="321"/>
      <c r="K2" s="323"/>
      <c r="L2" s="323"/>
      <c r="M2" s="323"/>
      <c r="N2" s="324"/>
      <c r="O2" s="324"/>
      <c r="P2" s="324"/>
      <c r="Q2" s="327"/>
      <c r="R2" s="325"/>
    </row>
    <row r="3" spans="1:18" ht="23.25" customHeight="1">
      <c r="A3" s="505" t="s">
        <v>601</v>
      </c>
      <c r="B3" s="505"/>
      <c r="C3" s="505"/>
      <c r="D3" s="505"/>
      <c r="E3" s="505"/>
      <c r="F3" s="505"/>
      <c r="G3" s="505"/>
      <c r="H3" s="505"/>
      <c r="I3" s="505"/>
      <c r="J3" s="505"/>
      <c r="K3" s="505"/>
      <c r="L3" s="505"/>
      <c r="M3" s="505"/>
      <c r="N3" s="505"/>
      <c r="O3" s="505"/>
      <c r="P3" s="505"/>
      <c r="Q3" s="505"/>
      <c r="R3" s="505"/>
    </row>
    <row r="4" spans="1:18" ht="23.25" customHeight="1">
      <c r="A4" s="456" t="s">
        <v>36</v>
      </c>
      <c r="B4" s="456"/>
      <c r="C4" s="456"/>
      <c r="D4" s="456"/>
      <c r="E4" s="456"/>
      <c r="F4" s="456"/>
      <c r="G4" s="456"/>
      <c r="H4" s="456"/>
      <c r="I4" s="456"/>
      <c r="J4" s="456"/>
      <c r="K4" s="456"/>
      <c r="L4" s="456"/>
      <c r="M4" s="456"/>
      <c r="N4" s="456"/>
      <c r="O4" s="456"/>
      <c r="P4" s="456"/>
      <c r="Q4" s="456"/>
      <c r="R4" s="456"/>
    </row>
    <row r="5" spans="1:18" ht="23.25" customHeight="1">
      <c r="A5" s="442" t="s">
        <v>605</v>
      </c>
      <c r="B5" s="442"/>
      <c r="C5" s="442"/>
      <c r="D5" s="442"/>
      <c r="E5" s="442"/>
      <c r="F5" s="442"/>
      <c r="G5" s="442"/>
      <c r="H5" s="442"/>
      <c r="I5" s="442"/>
      <c r="J5" s="442"/>
      <c r="K5" s="442"/>
      <c r="L5" s="442"/>
      <c r="M5" s="442"/>
      <c r="N5" s="442"/>
      <c r="O5" s="442"/>
      <c r="P5" s="442"/>
      <c r="Q5" s="442"/>
      <c r="R5" s="442"/>
    </row>
    <row r="6" spans="1:18" ht="19.5" customHeight="1">
      <c r="A6" s="325"/>
      <c r="B6" s="328"/>
      <c r="C6" s="329"/>
      <c r="D6" s="330"/>
      <c r="E6" s="324"/>
      <c r="F6" s="331"/>
      <c r="G6" s="332"/>
      <c r="H6" s="332"/>
      <c r="I6" s="332"/>
      <c r="J6" s="324"/>
      <c r="K6" s="332"/>
      <c r="L6" s="332"/>
      <c r="M6" s="333"/>
      <c r="N6" s="321"/>
      <c r="O6" s="321"/>
      <c r="P6" s="519" t="s">
        <v>602</v>
      </c>
      <c r="Q6" s="519"/>
      <c r="R6" s="519"/>
    </row>
    <row r="7" spans="1:18" ht="39" customHeight="1">
      <c r="A7" s="506" t="s">
        <v>305</v>
      </c>
      <c r="B7" s="509" t="s">
        <v>1</v>
      </c>
      <c r="C7" s="512" t="s">
        <v>603</v>
      </c>
      <c r="D7" s="513"/>
      <c r="E7" s="513"/>
      <c r="F7" s="513"/>
      <c r="G7" s="513"/>
      <c r="H7" s="513"/>
      <c r="I7" s="513"/>
      <c r="J7" s="513"/>
      <c r="K7" s="514"/>
      <c r="L7" s="335"/>
      <c r="M7" s="335"/>
      <c r="N7" s="515" t="s">
        <v>593</v>
      </c>
      <c r="O7" s="515"/>
      <c r="P7" s="515"/>
      <c r="Q7" s="516" t="s">
        <v>306</v>
      </c>
      <c r="R7" s="516"/>
    </row>
    <row r="8" spans="1:18" ht="44.25" customHeight="1">
      <c r="A8" s="507"/>
      <c r="B8" s="510"/>
      <c r="C8" s="517" t="s">
        <v>307</v>
      </c>
      <c r="D8" s="517" t="s">
        <v>308</v>
      </c>
      <c r="E8" s="517" t="s">
        <v>309</v>
      </c>
      <c r="F8" s="512" t="s">
        <v>310</v>
      </c>
      <c r="G8" s="513"/>
      <c r="H8" s="513"/>
      <c r="I8" s="513"/>
      <c r="J8" s="513"/>
      <c r="K8" s="514"/>
      <c r="L8" s="336"/>
      <c r="M8" s="337"/>
      <c r="N8" s="517" t="s">
        <v>311</v>
      </c>
      <c r="O8" s="512" t="s">
        <v>104</v>
      </c>
      <c r="P8" s="514"/>
      <c r="Q8" s="520" t="s">
        <v>312</v>
      </c>
      <c r="R8" s="520" t="s">
        <v>313</v>
      </c>
    </row>
    <row r="9" spans="1:18" ht="41.25" customHeight="1">
      <c r="A9" s="508"/>
      <c r="B9" s="511"/>
      <c r="C9" s="518"/>
      <c r="D9" s="518"/>
      <c r="E9" s="518"/>
      <c r="F9" s="338" t="s">
        <v>314</v>
      </c>
      <c r="G9" s="339" t="s">
        <v>595</v>
      </c>
      <c r="H9" s="340" t="s">
        <v>315</v>
      </c>
      <c r="I9" s="340" t="s">
        <v>316</v>
      </c>
      <c r="J9" s="341" t="s">
        <v>317</v>
      </c>
      <c r="K9" s="340" t="s">
        <v>318</v>
      </c>
      <c r="L9" s="340" t="s">
        <v>315</v>
      </c>
      <c r="M9" s="340" t="s">
        <v>316</v>
      </c>
      <c r="N9" s="518"/>
      <c r="O9" s="338" t="s">
        <v>319</v>
      </c>
      <c r="P9" s="341" t="s">
        <v>320</v>
      </c>
      <c r="Q9" s="521"/>
      <c r="R9" s="521"/>
    </row>
    <row r="10" spans="1:18" ht="24" customHeight="1">
      <c r="A10" s="342" t="s">
        <v>9</v>
      </c>
      <c r="B10" s="343" t="s">
        <v>20</v>
      </c>
      <c r="C10" s="344">
        <v>1</v>
      </c>
      <c r="D10" s="344" t="s">
        <v>604</v>
      </c>
      <c r="E10" s="345" t="s">
        <v>321</v>
      </c>
      <c r="F10" s="345">
        <v>3</v>
      </c>
      <c r="G10" s="346" t="s">
        <v>138</v>
      </c>
      <c r="H10" s="347" t="s">
        <v>140</v>
      </c>
      <c r="I10" s="347" t="s">
        <v>322</v>
      </c>
      <c r="J10" s="348">
        <v>4</v>
      </c>
      <c r="K10" s="347" t="s">
        <v>138</v>
      </c>
      <c r="L10" s="349" t="s">
        <v>140</v>
      </c>
      <c r="M10" s="349" t="s">
        <v>322</v>
      </c>
      <c r="N10" s="345">
        <v>5</v>
      </c>
      <c r="O10" s="345">
        <v>6</v>
      </c>
      <c r="P10" s="345">
        <v>7</v>
      </c>
      <c r="Q10" s="350" t="s">
        <v>323</v>
      </c>
      <c r="R10" s="350" t="s">
        <v>324</v>
      </c>
    </row>
    <row r="11" spans="1:18" ht="27" customHeight="1">
      <c r="A11" s="351"/>
      <c r="B11" s="352" t="s">
        <v>226</v>
      </c>
      <c r="C11" s="401">
        <f>C12+C81+C70</f>
        <v>781859000000</v>
      </c>
      <c r="D11" s="401">
        <f>D12+D81+D70</f>
        <v>1092557000000</v>
      </c>
      <c r="E11" s="401">
        <f>E12+E81+E70+E76</f>
        <v>1523863774974</v>
      </c>
      <c r="F11" s="401">
        <f>F12+F81+F70</f>
        <v>1078690641767</v>
      </c>
      <c r="G11" s="402">
        <f>G12+G81+G70</f>
        <v>479888000000</v>
      </c>
      <c r="H11" s="402">
        <f>H12+H81+H70</f>
        <v>201956721829</v>
      </c>
      <c r="I11" s="402">
        <f>I12+I81+I70</f>
        <v>88798000000</v>
      </c>
      <c r="J11" s="401">
        <f aca="true" t="shared" si="0" ref="J11:P11">J12+J70+J76+J81</f>
        <v>262410133207</v>
      </c>
      <c r="K11" s="402">
        <f t="shared" si="0"/>
        <v>102348000000</v>
      </c>
      <c r="L11" s="402">
        <f t="shared" si="0"/>
        <v>69129009696</v>
      </c>
      <c r="M11" s="402">
        <f t="shared" si="0"/>
        <v>90933123511</v>
      </c>
      <c r="N11" s="401">
        <f t="shared" si="0"/>
        <v>1483880767591</v>
      </c>
      <c r="O11" s="401">
        <f t="shared" si="0"/>
        <v>1218696125035</v>
      </c>
      <c r="P11" s="401">
        <f t="shared" si="0"/>
        <v>265184642556</v>
      </c>
      <c r="Q11" s="354">
        <f>(N11/D11)*100</f>
        <v>135.81724043605962</v>
      </c>
      <c r="R11" s="354">
        <f aca="true" t="shared" si="1" ref="R11:R17">(N11/E11)*100</f>
        <v>97.37620855357086</v>
      </c>
    </row>
    <row r="12" spans="1:18" ht="24" customHeight="1">
      <c r="A12" s="338" t="s">
        <v>105</v>
      </c>
      <c r="B12" s="352" t="s">
        <v>227</v>
      </c>
      <c r="C12" s="401">
        <f>C13+C31++C30+C65+C64+C66+C67+C69</f>
        <v>781859000000</v>
      </c>
      <c r="D12" s="401">
        <f>D13+D31++D30+D65+D64+D66+D67+D69</f>
        <v>1092557000000</v>
      </c>
      <c r="E12" s="401">
        <f>E13+E31+E65+E64+E66+E67+E68+E69</f>
        <v>1510587774974</v>
      </c>
      <c r="F12" s="401">
        <f>F13+F31++F30+F65+F64+F66+F67+F68+F69</f>
        <v>1078690641767</v>
      </c>
      <c r="G12" s="402">
        <f>G13+G31++G30+G65+G64+G66+G67+G69</f>
        <v>479888000000</v>
      </c>
      <c r="H12" s="402">
        <f>H13+H31++H30+H65+H64+H66+H67+H69</f>
        <v>201956721829</v>
      </c>
      <c r="I12" s="402">
        <f>I13+I31++I30+I65+I64+I66+I67+I69</f>
        <v>88798000000</v>
      </c>
      <c r="J12" s="401">
        <f>SUM(K12:M12)</f>
        <v>256756133207</v>
      </c>
      <c r="K12" s="402">
        <f>K13+K30+K31+K65+K66+K67+K69</f>
        <v>96694000000</v>
      </c>
      <c r="L12" s="402">
        <f>L13+L30+L31+L65+L66+L67+L69</f>
        <v>69129009696</v>
      </c>
      <c r="M12" s="402">
        <f>M13+M30+M31+M65+M66+M67+M69</f>
        <v>90933123511</v>
      </c>
      <c r="N12" s="401">
        <f>N13+N30+N31+N64+N65+N66+N67+N69</f>
        <v>1252361121696</v>
      </c>
      <c r="O12" s="401">
        <f>O13+O30+O31+O64+O65+O66+O67+O69</f>
        <v>987176479140</v>
      </c>
      <c r="P12" s="401">
        <f>P13+P30+P31+P64+P65+P66+P67+P69</f>
        <v>265184642556</v>
      </c>
      <c r="Q12" s="354">
        <f>(N12/D12)*100</f>
        <v>114.62661643246072</v>
      </c>
      <c r="R12" s="354">
        <f t="shared" si="1"/>
        <v>82.90555123270181</v>
      </c>
    </row>
    <row r="13" spans="1:18" s="355" customFormat="1" ht="20.25" customHeight="1">
      <c r="A13" s="338" t="s">
        <v>10</v>
      </c>
      <c r="B13" s="352" t="s">
        <v>11</v>
      </c>
      <c r="C13" s="401">
        <f>C14+C28+C29</f>
        <v>211491000000</v>
      </c>
      <c r="D13" s="401">
        <f aca="true" t="shared" si="2" ref="D13:P13">D14+D28+D29</f>
        <v>216209000000</v>
      </c>
      <c r="E13" s="401">
        <f>E14+E28+E29+E30</f>
        <v>246442258000</v>
      </c>
      <c r="F13" s="401">
        <f t="shared" si="2"/>
        <v>240935839000</v>
      </c>
      <c r="G13" s="402">
        <f t="shared" si="2"/>
        <v>4000000000</v>
      </c>
      <c r="H13" s="402">
        <f t="shared" si="2"/>
        <v>0</v>
      </c>
      <c r="I13" s="402">
        <f t="shared" si="2"/>
        <v>0</v>
      </c>
      <c r="J13" s="401">
        <f t="shared" si="2"/>
        <v>5506419000</v>
      </c>
      <c r="K13" s="402">
        <f t="shared" si="2"/>
        <v>0</v>
      </c>
      <c r="L13" s="402">
        <f t="shared" si="2"/>
        <v>5506419000</v>
      </c>
      <c r="M13" s="402">
        <f t="shared" si="2"/>
        <v>0</v>
      </c>
      <c r="N13" s="401">
        <f t="shared" si="2"/>
        <v>255772456062</v>
      </c>
      <c r="O13" s="401">
        <f t="shared" si="2"/>
        <v>241096207062</v>
      </c>
      <c r="P13" s="401">
        <f t="shared" si="2"/>
        <v>14676249000</v>
      </c>
      <c r="Q13" s="354">
        <f>SUM(N13/D13)*100</f>
        <v>118.29870914809281</v>
      </c>
      <c r="R13" s="354">
        <f t="shared" si="1"/>
        <v>103.78595705854958</v>
      </c>
    </row>
    <row r="14" spans="1:18" ht="36" customHeight="1">
      <c r="A14" s="338">
        <v>1</v>
      </c>
      <c r="B14" s="356" t="s">
        <v>228</v>
      </c>
      <c r="C14" s="401">
        <f>C15+C16+C17+C18+C19+C20+C21+C22+C23+C24+C25+C26+C27</f>
        <v>211491000000</v>
      </c>
      <c r="D14" s="401">
        <f>SUM(D15:D27)</f>
        <v>216209000000</v>
      </c>
      <c r="E14" s="401">
        <f>E15+E16+E17+E20+E24+E25+E26+E27</f>
        <v>242442258000</v>
      </c>
      <c r="F14" s="401">
        <f aca="true" t="shared" si="3" ref="F14:P14">F15+F16+F17+F20+F24+F25+F26+F27</f>
        <v>236935839000</v>
      </c>
      <c r="G14" s="402">
        <f t="shared" si="3"/>
        <v>0</v>
      </c>
      <c r="H14" s="402">
        <f t="shared" si="3"/>
        <v>0</v>
      </c>
      <c r="I14" s="402">
        <f t="shared" si="3"/>
        <v>0</v>
      </c>
      <c r="J14" s="401">
        <f t="shared" si="3"/>
        <v>5506419000</v>
      </c>
      <c r="K14" s="402">
        <f t="shared" si="3"/>
        <v>0</v>
      </c>
      <c r="L14" s="402">
        <f t="shared" si="3"/>
        <v>5506419000</v>
      </c>
      <c r="M14" s="402">
        <f t="shared" si="3"/>
        <v>0</v>
      </c>
      <c r="N14" s="401">
        <f t="shared" si="3"/>
        <v>251772456062</v>
      </c>
      <c r="O14" s="401">
        <f t="shared" si="3"/>
        <v>237096207062</v>
      </c>
      <c r="P14" s="401">
        <f t="shared" si="3"/>
        <v>14676249000</v>
      </c>
      <c r="Q14" s="354">
        <f>(N14/D14)*100</f>
        <v>116.44864740228205</v>
      </c>
      <c r="R14" s="354">
        <f t="shared" si="1"/>
        <v>103.8484207080764</v>
      </c>
    </row>
    <row r="15" spans="1:18" ht="22.5" customHeight="1">
      <c r="A15" s="350" t="s">
        <v>30</v>
      </c>
      <c r="B15" s="357" t="s">
        <v>173</v>
      </c>
      <c r="C15" s="403">
        <v>100000000</v>
      </c>
      <c r="D15" s="403">
        <v>1000000000</v>
      </c>
      <c r="E15" s="403">
        <f aca="true" t="shared" si="4" ref="E15:E30">F15+J15</f>
        <v>1258000000</v>
      </c>
      <c r="F15" s="403">
        <v>1258000000</v>
      </c>
      <c r="G15" s="404"/>
      <c r="H15" s="404"/>
      <c r="I15" s="404"/>
      <c r="J15" s="401">
        <f>SUM(K15:M15)</f>
        <v>0</v>
      </c>
      <c r="K15" s="404"/>
      <c r="L15" s="404"/>
      <c r="M15" s="404"/>
      <c r="N15" s="405">
        <f aca="true" t="shared" si="5" ref="N15:N29">O15+P15</f>
        <v>278616000</v>
      </c>
      <c r="O15" s="405">
        <v>278616000</v>
      </c>
      <c r="P15" s="405"/>
      <c r="Q15" s="359"/>
      <c r="R15" s="359">
        <f t="shared" si="1"/>
        <v>22.147535771065183</v>
      </c>
    </row>
    <row r="16" spans="1:18" ht="22.5" customHeight="1">
      <c r="A16" s="350" t="s">
        <v>218</v>
      </c>
      <c r="B16" s="357" t="s">
        <v>357</v>
      </c>
      <c r="C16" s="406">
        <v>4800000000</v>
      </c>
      <c r="D16" s="403">
        <v>4700000000</v>
      </c>
      <c r="E16" s="403">
        <f t="shared" si="4"/>
        <v>4700710000</v>
      </c>
      <c r="F16" s="403">
        <v>4700710000</v>
      </c>
      <c r="G16" s="404"/>
      <c r="H16" s="407"/>
      <c r="I16" s="407"/>
      <c r="J16" s="401">
        <f aca="true" t="shared" si="6" ref="J16:J30">SUM(K16:M16)</f>
        <v>0</v>
      </c>
      <c r="K16" s="404"/>
      <c r="L16" s="404"/>
      <c r="M16" s="404"/>
      <c r="N16" s="405">
        <f t="shared" si="5"/>
        <v>6298190000</v>
      </c>
      <c r="O16" s="405">
        <v>6298190000</v>
      </c>
      <c r="P16" s="405"/>
      <c r="Q16" s="359"/>
      <c r="R16" s="359">
        <f t="shared" si="1"/>
        <v>133.98380244686442</v>
      </c>
    </row>
    <row r="17" spans="1:18" ht="22.5" customHeight="1">
      <c r="A17" s="350" t="s">
        <v>229</v>
      </c>
      <c r="B17" s="357" t="s">
        <v>213</v>
      </c>
      <c r="C17" s="403">
        <f>32400000000+48098000000</f>
        <v>80498000000</v>
      </c>
      <c r="D17" s="403">
        <v>71756000000</v>
      </c>
      <c r="E17" s="403">
        <f t="shared" si="4"/>
        <v>72585000000</v>
      </c>
      <c r="F17" s="403">
        <v>72585000000</v>
      </c>
      <c r="G17" s="404"/>
      <c r="H17" s="404"/>
      <c r="I17" s="404"/>
      <c r="J17" s="401">
        <f t="shared" si="6"/>
        <v>0</v>
      </c>
      <c r="K17" s="404"/>
      <c r="L17" s="404"/>
      <c r="M17" s="404"/>
      <c r="N17" s="405">
        <f t="shared" si="5"/>
        <v>60530759000</v>
      </c>
      <c r="O17" s="405">
        <v>60530759000</v>
      </c>
      <c r="P17" s="405"/>
      <c r="Q17" s="359"/>
      <c r="R17" s="359">
        <f t="shared" si="1"/>
        <v>83.39293104635944</v>
      </c>
    </row>
    <row r="18" spans="1:18" ht="22.5" customHeight="1">
      <c r="A18" s="350" t="s">
        <v>230</v>
      </c>
      <c r="B18" s="357" t="s">
        <v>214</v>
      </c>
      <c r="C18" s="403"/>
      <c r="D18" s="403">
        <f aca="true" t="shared" si="7" ref="D18:D26">C18</f>
        <v>0</v>
      </c>
      <c r="E18" s="403">
        <f t="shared" si="4"/>
        <v>0</v>
      </c>
      <c r="F18" s="403">
        <f aca="true" t="shared" si="8" ref="F18:F26">D18</f>
        <v>0</v>
      </c>
      <c r="G18" s="404"/>
      <c r="H18" s="404"/>
      <c r="I18" s="404"/>
      <c r="J18" s="401">
        <f t="shared" si="6"/>
        <v>0</v>
      </c>
      <c r="K18" s="404"/>
      <c r="L18" s="404"/>
      <c r="M18" s="404"/>
      <c r="N18" s="405">
        <f t="shared" si="5"/>
        <v>0</v>
      </c>
      <c r="O18" s="405"/>
      <c r="P18" s="405"/>
      <c r="Q18" s="359"/>
      <c r="R18" s="359"/>
    </row>
    <row r="19" spans="1:18" ht="22.5" customHeight="1">
      <c r="A19" s="350" t="s">
        <v>231</v>
      </c>
      <c r="B19" s="357" t="s">
        <v>25</v>
      </c>
      <c r="C19" s="403"/>
      <c r="D19" s="403">
        <f t="shared" si="7"/>
        <v>0</v>
      </c>
      <c r="E19" s="403">
        <f t="shared" si="4"/>
        <v>0</v>
      </c>
      <c r="F19" s="403">
        <f t="shared" si="8"/>
        <v>0</v>
      </c>
      <c r="G19" s="404"/>
      <c r="H19" s="404"/>
      <c r="I19" s="404"/>
      <c r="J19" s="401">
        <f t="shared" si="6"/>
        <v>0</v>
      </c>
      <c r="K19" s="404"/>
      <c r="L19" s="404"/>
      <c r="M19" s="404"/>
      <c r="N19" s="405">
        <f t="shared" si="5"/>
        <v>0</v>
      </c>
      <c r="O19" s="405"/>
      <c r="P19" s="405"/>
      <c r="Q19" s="359"/>
      <c r="R19" s="359"/>
    </row>
    <row r="20" spans="1:18" ht="22.5" customHeight="1">
      <c r="A20" s="350" t="s">
        <v>232</v>
      </c>
      <c r="B20" s="357" t="s">
        <v>215</v>
      </c>
      <c r="C20" s="406">
        <v>1600000000</v>
      </c>
      <c r="D20" s="403">
        <v>7100000000</v>
      </c>
      <c r="E20" s="403">
        <f t="shared" si="4"/>
        <v>7101000000</v>
      </c>
      <c r="F20" s="403">
        <v>7101000000</v>
      </c>
      <c r="G20" s="404"/>
      <c r="H20" s="404"/>
      <c r="I20" s="404"/>
      <c r="J20" s="403"/>
      <c r="K20" s="404"/>
      <c r="L20" s="404"/>
      <c r="M20" s="404"/>
      <c r="N20" s="405">
        <f t="shared" si="5"/>
        <v>4537730000</v>
      </c>
      <c r="O20" s="405">
        <v>4537730000</v>
      </c>
      <c r="P20" s="405"/>
      <c r="Q20" s="359"/>
      <c r="R20" s="359">
        <f>(N20/E20)*100</f>
        <v>63.90268976200535</v>
      </c>
    </row>
    <row r="21" spans="1:18" ht="22.5" customHeight="1">
      <c r="A21" s="350" t="s">
        <v>233</v>
      </c>
      <c r="B21" s="357" t="s">
        <v>216</v>
      </c>
      <c r="C21" s="403"/>
      <c r="D21" s="403">
        <f t="shared" si="7"/>
        <v>0</v>
      </c>
      <c r="E21" s="403">
        <f t="shared" si="4"/>
        <v>0</v>
      </c>
      <c r="F21" s="403">
        <f t="shared" si="8"/>
        <v>0</v>
      </c>
      <c r="G21" s="404"/>
      <c r="H21" s="404"/>
      <c r="I21" s="404"/>
      <c r="J21" s="401">
        <f t="shared" si="6"/>
        <v>0</v>
      </c>
      <c r="K21" s="404"/>
      <c r="L21" s="404"/>
      <c r="M21" s="404"/>
      <c r="N21" s="405">
        <f t="shared" si="5"/>
        <v>0</v>
      </c>
      <c r="O21" s="405"/>
      <c r="P21" s="405"/>
      <c r="Q21" s="359"/>
      <c r="R21" s="359"/>
    </row>
    <row r="22" spans="1:18" ht="22.5" customHeight="1">
      <c r="A22" s="350" t="s">
        <v>234</v>
      </c>
      <c r="B22" s="357" t="s">
        <v>101</v>
      </c>
      <c r="C22" s="403"/>
      <c r="D22" s="403">
        <f t="shared" si="7"/>
        <v>0</v>
      </c>
      <c r="E22" s="401">
        <f t="shared" si="4"/>
        <v>0</v>
      </c>
      <c r="F22" s="403">
        <f t="shared" si="8"/>
        <v>0</v>
      </c>
      <c r="G22" s="404"/>
      <c r="H22" s="404"/>
      <c r="I22" s="404"/>
      <c r="J22" s="401">
        <f t="shared" si="6"/>
        <v>0</v>
      </c>
      <c r="K22" s="404"/>
      <c r="L22" s="404"/>
      <c r="M22" s="404"/>
      <c r="N22" s="405">
        <f t="shared" si="5"/>
        <v>0</v>
      </c>
      <c r="O22" s="405"/>
      <c r="P22" s="405"/>
      <c r="Q22" s="359"/>
      <c r="R22" s="359"/>
    </row>
    <row r="23" spans="1:18" ht="22.5" customHeight="1">
      <c r="A23" s="350" t="s">
        <v>235</v>
      </c>
      <c r="B23" s="357" t="s">
        <v>26</v>
      </c>
      <c r="C23" s="403"/>
      <c r="D23" s="403">
        <f t="shared" si="7"/>
        <v>0</v>
      </c>
      <c r="E23" s="401">
        <f t="shared" si="4"/>
        <v>0</v>
      </c>
      <c r="F23" s="403">
        <f t="shared" si="8"/>
        <v>0</v>
      </c>
      <c r="G23" s="404"/>
      <c r="H23" s="404"/>
      <c r="I23" s="404"/>
      <c r="J23" s="401">
        <f t="shared" si="6"/>
        <v>0</v>
      </c>
      <c r="K23" s="404"/>
      <c r="L23" s="404"/>
      <c r="M23" s="404"/>
      <c r="N23" s="405">
        <f t="shared" si="5"/>
        <v>0</v>
      </c>
      <c r="O23" s="405"/>
      <c r="P23" s="405"/>
      <c r="Q23" s="359"/>
      <c r="R23" s="359"/>
    </row>
    <row r="24" spans="1:18" ht="22.5" customHeight="1">
      <c r="A24" s="350" t="s">
        <v>236</v>
      </c>
      <c r="B24" s="357" t="s">
        <v>217</v>
      </c>
      <c r="C24" s="406">
        <f>22600000000+35800000000+10100000000</f>
        <v>68500000000</v>
      </c>
      <c r="D24" s="403">
        <f>53850000000+42342000000+50000000</f>
        <v>96242000000</v>
      </c>
      <c r="E24" s="403">
        <f t="shared" si="4"/>
        <v>120597000000</v>
      </c>
      <c r="F24" s="403">
        <f>59025000000+61522000000+50000000</f>
        <v>120597000000</v>
      </c>
      <c r="G24" s="404"/>
      <c r="H24" s="404"/>
      <c r="I24" s="404"/>
      <c r="J24" s="403"/>
      <c r="K24" s="404"/>
      <c r="L24" s="404"/>
      <c r="M24" s="404"/>
      <c r="N24" s="405">
        <f t="shared" si="5"/>
        <v>154638077062</v>
      </c>
      <c r="O24" s="405">
        <v>139961828062</v>
      </c>
      <c r="P24" s="405">
        <v>14676249000</v>
      </c>
      <c r="Q24" s="359"/>
      <c r="R24" s="359">
        <f>(N24/E24)*100</f>
        <v>128.22713422556114</v>
      </c>
    </row>
    <row r="25" spans="1:18" ht="33.75" customHeight="1">
      <c r="A25" s="350" t="s">
        <v>237</v>
      </c>
      <c r="B25" s="357" t="s">
        <v>238</v>
      </c>
      <c r="C25" s="406">
        <f>16200000000</f>
        <v>16200000000</v>
      </c>
      <c r="D25" s="403">
        <v>21500000000</v>
      </c>
      <c r="E25" s="403">
        <f t="shared" si="4"/>
        <v>21644000000</v>
      </c>
      <c r="F25" s="403">
        <v>21644000000</v>
      </c>
      <c r="G25" s="404"/>
      <c r="H25" s="404"/>
      <c r="I25" s="404"/>
      <c r="J25" s="403"/>
      <c r="K25" s="404">
        <v>0</v>
      </c>
      <c r="L25" s="404"/>
      <c r="M25" s="404"/>
      <c r="N25" s="405">
        <f t="shared" si="5"/>
        <v>25489084000</v>
      </c>
      <c r="O25" s="405">
        <v>25489084000</v>
      </c>
      <c r="P25" s="405"/>
      <c r="Q25" s="359"/>
      <c r="R25" s="359">
        <f>(N25/E25)*100</f>
        <v>117.76512659397524</v>
      </c>
    </row>
    <row r="26" spans="1:18" ht="22.5" customHeight="1">
      <c r="A26" s="350" t="s">
        <v>240</v>
      </c>
      <c r="B26" s="357" t="s">
        <v>102</v>
      </c>
      <c r="C26" s="406"/>
      <c r="D26" s="403">
        <f t="shared" si="7"/>
        <v>0</v>
      </c>
      <c r="E26" s="403">
        <f t="shared" si="4"/>
        <v>0</v>
      </c>
      <c r="F26" s="403">
        <f t="shared" si="8"/>
        <v>0</v>
      </c>
      <c r="G26" s="404"/>
      <c r="H26" s="404"/>
      <c r="I26" s="404"/>
      <c r="J26" s="401">
        <f t="shared" si="6"/>
        <v>0</v>
      </c>
      <c r="K26" s="404"/>
      <c r="L26" s="404"/>
      <c r="M26" s="404"/>
      <c r="N26" s="408">
        <f t="shared" si="5"/>
        <v>0</v>
      </c>
      <c r="O26" s="405"/>
      <c r="P26" s="405"/>
      <c r="Q26" s="359"/>
      <c r="R26" s="359"/>
    </row>
    <row r="27" spans="1:18" ht="22.5" customHeight="1">
      <c r="A27" s="350" t="s">
        <v>241</v>
      </c>
      <c r="B27" s="357" t="s">
        <v>242</v>
      </c>
      <c r="C27" s="403">
        <f>29349000000+5100000000+5344000000</f>
        <v>39793000000</v>
      </c>
      <c r="D27" s="403">
        <f>4000000000+3400000000+1793000000+3718000000+1000000000</f>
        <v>13911000000</v>
      </c>
      <c r="E27" s="403">
        <f t="shared" si="4"/>
        <v>14556548000</v>
      </c>
      <c r="F27" s="403">
        <f>3400000000+4400000000+245548000+4581000+1000000000</f>
        <v>9050129000</v>
      </c>
      <c r="G27" s="404"/>
      <c r="H27" s="404"/>
      <c r="I27" s="404"/>
      <c r="J27" s="401">
        <f t="shared" si="6"/>
        <v>5506419000</v>
      </c>
      <c r="K27" s="404"/>
      <c r="L27" s="401">
        <f>1788419000+3718000000</f>
        <v>5506419000</v>
      </c>
      <c r="M27" s="404"/>
      <c r="N27" s="408">
        <f t="shared" si="5"/>
        <v>0</v>
      </c>
      <c r="O27" s="405"/>
      <c r="P27" s="405"/>
      <c r="Q27" s="359"/>
      <c r="R27" s="359"/>
    </row>
    <row r="28" spans="1:18" ht="36.75" customHeight="1">
      <c r="A28" s="351">
        <v>2</v>
      </c>
      <c r="B28" s="360" t="s">
        <v>243</v>
      </c>
      <c r="C28" s="409"/>
      <c r="D28" s="409"/>
      <c r="E28" s="401">
        <f t="shared" si="4"/>
        <v>0</v>
      </c>
      <c r="F28" s="401">
        <f>SUM(G28:I28)</f>
        <v>0</v>
      </c>
      <c r="G28" s="404"/>
      <c r="H28" s="404"/>
      <c r="I28" s="404"/>
      <c r="J28" s="401">
        <f t="shared" si="6"/>
        <v>0</v>
      </c>
      <c r="K28" s="404"/>
      <c r="L28" s="404"/>
      <c r="M28" s="404"/>
      <c r="N28" s="410">
        <f t="shared" si="5"/>
        <v>0</v>
      </c>
      <c r="O28" s="411"/>
      <c r="P28" s="411"/>
      <c r="Q28" s="359"/>
      <c r="R28" s="359"/>
    </row>
    <row r="29" spans="1:18" ht="22.5" customHeight="1">
      <c r="A29" s="351">
        <v>3</v>
      </c>
      <c r="B29" s="356" t="s">
        <v>13</v>
      </c>
      <c r="C29" s="409"/>
      <c r="D29" s="409"/>
      <c r="E29" s="401">
        <f t="shared" si="4"/>
        <v>4000000000</v>
      </c>
      <c r="F29" s="401">
        <f>SUM(G29:I29)</f>
        <v>4000000000</v>
      </c>
      <c r="G29" s="412">
        <v>4000000000</v>
      </c>
      <c r="H29" s="412"/>
      <c r="I29" s="404"/>
      <c r="J29" s="401">
        <f t="shared" si="6"/>
        <v>0</v>
      </c>
      <c r="K29" s="404"/>
      <c r="L29" s="404"/>
      <c r="M29" s="404"/>
      <c r="N29" s="411">
        <f t="shared" si="5"/>
        <v>4000000000</v>
      </c>
      <c r="O29" s="411">
        <v>4000000000</v>
      </c>
      <c r="P29" s="411"/>
      <c r="Q29" s="359"/>
      <c r="R29" s="359"/>
    </row>
    <row r="30" spans="1:18" s="355" customFormat="1" ht="22.5" customHeight="1">
      <c r="A30" s="338">
        <v>4</v>
      </c>
      <c r="B30" s="352" t="s">
        <v>244</v>
      </c>
      <c r="C30" s="413"/>
      <c r="D30" s="413"/>
      <c r="E30" s="401">
        <f t="shared" si="4"/>
        <v>0</v>
      </c>
      <c r="F30" s="401">
        <f>SUM(G30:I30)</f>
        <v>0</v>
      </c>
      <c r="G30" s="412"/>
      <c r="H30" s="412"/>
      <c r="I30" s="412"/>
      <c r="J30" s="401">
        <f t="shared" si="6"/>
        <v>0</v>
      </c>
      <c r="K30" s="412"/>
      <c r="L30" s="412"/>
      <c r="M30" s="412"/>
      <c r="N30" s="414"/>
      <c r="O30" s="414"/>
      <c r="P30" s="414"/>
      <c r="Q30" s="359"/>
      <c r="R30" s="359"/>
    </row>
    <row r="31" spans="1:18" ht="22.5" customHeight="1">
      <c r="A31" s="338" t="s">
        <v>14</v>
      </c>
      <c r="B31" s="352" t="s">
        <v>106</v>
      </c>
      <c r="C31" s="414">
        <f>C34+C44+C62</f>
        <v>555037000000</v>
      </c>
      <c r="D31" s="414">
        <f>D32+D33+D34+D39+D40+D41+D42+D43+D44+D45+D56+D61+D62</f>
        <v>861017000000</v>
      </c>
      <c r="E31" s="414">
        <f>E32+E33+E34+E39+E40+E41+E43+E45+E56+E61+E62+E63+E42+E44+175141000000</f>
        <v>1026271360398</v>
      </c>
      <c r="F31" s="414">
        <f aca="true" t="shared" si="9" ref="F31:K31">F32+F33+F34+F39+F40+F41+F42+F43+F44+F45+F56+F61+F62+F63</f>
        <v>618355000000</v>
      </c>
      <c r="G31" s="412">
        <f t="shared" si="9"/>
        <v>462364000000</v>
      </c>
      <c r="H31" s="412">
        <f t="shared" si="9"/>
        <v>76446169059</v>
      </c>
      <c r="I31" s="412">
        <f t="shared" si="9"/>
        <v>79544830941</v>
      </c>
      <c r="J31" s="414">
        <f t="shared" si="9"/>
        <v>232775360398</v>
      </c>
      <c r="K31" s="412">
        <f t="shared" si="9"/>
        <v>94887000000</v>
      </c>
      <c r="L31" s="412">
        <f>L32+L33+L34+L39+L40+L41+L42+L43+L44+L45+L56+L61+L62-L63+L69</f>
        <v>46955236887</v>
      </c>
      <c r="M31" s="412">
        <f>M32+M33+M34+M39+M40+M41+M42+M43+M44+M45+M56+M61+M62-M63+M69</f>
        <v>90933123511</v>
      </c>
      <c r="N31" s="414">
        <f>N32+N33+N34+N39+N40+N41+N42+N43+N44+N45+N56+N61+N62</f>
        <v>796042514698</v>
      </c>
      <c r="O31" s="414">
        <f>O32+O33+O34+O39+O40+O41+O42+O43+O45+O56+O61+O62+O44</f>
        <v>564114335611</v>
      </c>
      <c r="P31" s="414">
        <f>P32+P33+P34+P39+P40+P41+P42+P43+P45+P56+P61+P62+P44</f>
        <v>231928179087</v>
      </c>
      <c r="Q31" s="354">
        <f>(N31/D31)*100</f>
        <v>92.45375116844383</v>
      </c>
      <c r="R31" s="359">
        <f aca="true" t="shared" si="10" ref="R31:R47">(N31/E31)*100</f>
        <v>77.56647465922516</v>
      </c>
    </row>
    <row r="32" spans="1:18" ht="22.5" customHeight="1">
      <c r="A32" s="350">
        <v>1</v>
      </c>
      <c r="B32" s="357" t="s">
        <v>173</v>
      </c>
      <c r="C32" s="401"/>
      <c r="D32" s="403">
        <v>7467000000</v>
      </c>
      <c r="E32" s="403">
        <f aca="true" t="shared" si="11" ref="E32:E44">F32+J32</f>
        <v>32420728000</v>
      </c>
      <c r="F32" s="403">
        <f aca="true" t="shared" si="12" ref="F32:F43">SUM(G32:I32)</f>
        <v>15045000000</v>
      </c>
      <c r="G32" s="404">
        <v>8031000000</v>
      </c>
      <c r="H32" s="404">
        <f>2747000000-54000000</f>
        <v>2693000000</v>
      </c>
      <c r="I32" s="404">
        <v>4321000000</v>
      </c>
      <c r="J32" s="403">
        <f aca="true" t="shared" si="13" ref="J32:J44">SUM(K32:M32)</f>
        <v>17375728000</v>
      </c>
      <c r="K32" s="404">
        <v>11239000000</v>
      </c>
      <c r="L32" s="404">
        <v>6136728000</v>
      </c>
      <c r="M32" s="404"/>
      <c r="N32" s="405">
        <f>O32+P32</f>
        <v>38848248373</v>
      </c>
      <c r="O32" s="406">
        <v>20576548964</v>
      </c>
      <c r="P32" s="406">
        <v>18271699409</v>
      </c>
      <c r="Q32" s="359"/>
      <c r="R32" s="359">
        <f t="shared" si="10"/>
        <v>119.82534251852704</v>
      </c>
    </row>
    <row r="33" spans="1:18" ht="22.5" customHeight="1">
      <c r="A33" s="350">
        <v>2</v>
      </c>
      <c r="B33" s="357" t="s">
        <v>212</v>
      </c>
      <c r="C33" s="401"/>
      <c r="D33" s="403"/>
      <c r="E33" s="403">
        <f t="shared" si="11"/>
        <v>11174000000</v>
      </c>
      <c r="F33" s="403">
        <f t="shared" si="12"/>
        <v>2744000000</v>
      </c>
      <c r="G33" s="404">
        <v>1279000000</v>
      </c>
      <c r="H33" s="404">
        <f>683000000-21000000</f>
        <v>662000000</v>
      </c>
      <c r="I33" s="404">
        <v>803000000</v>
      </c>
      <c r="J33" s="403">
        <f t="shared" si="13"/>
        <v>8430000000</v>
      </c>
      <c r="K33" s="404">
        <v>8430000000</v>
      </c>
      <c r="L33" s="404"/>
      <c r="M33" s="404"/>
      <c r="N33" s="405">
        <f>O33+P33</f>
        <v>11092297148</v>
      </c>
      <c r="O33" s="406">
        <v>4870130000</v>
      </c>
      <c r="P33" s="406">
        <v>6222167148</v>
      </c>
      <c r="Q33" s="359"/>
      <c r="R33" s="359">
        <f t="shared" si="10"/>
        <v>99.26881285126186</v>
      </c>
    </row>
    <row r="34" spans="1:18" ht="22.5" customHeight="1">
      <c r="A34" s="350">
        <v>3</v>
      </c>
      <c r="B34" s="357" t="s">
        <v>213</v>
      </c>
      <c r="C34" s="406">
        <v>255025000000</v>
      </c>
      <c r="D34" s="406">
        <f>C34+2005000000+9979000000</f>
        <v>267009000000</v>
      </c>
      <c r="E34" s="415">
        <f t="shared" si="11"/>
        <v>261304000000</v>
      </c>
      <c r="F34" s="415">
        <f t="shared" si="12"/>
        <v>261304000000</v>
      </c>
      <c r="G34" s="416">
        <f aca="true" t="shared" si="14" ref="G34:P34">SUM(G35:G38)</f>
        <v>250430000000</v>
      </c>
      <c r="H34" s="416">
        <f t="shared" si="14"/>
        <v>-1110000000</v>
      </c>
      <c r="I34" s="416">
        <f t="shared" si="14"/>
        <v>11984000000</v>
      </c>
      <c r="J34" s="417">
        <f t="shared" si="14"/>
        <v>0</v>
      </c>
      <c r="K34" s="416">
        <f t="shared" si="14"/>
        <v>0</v>
      </c>
      <c r="L34" s="416">
        <f t="shared" si="14"/>
        <v>0</v>
      </c>
      <c r="M34" s="416">
        <f t="shared" si="14"/>
        <v>0</v>
      </c>
      <c r="N34" s="417">
        <f>O34+P34</f>
        <v>245038826491</v>
      </c>
      <c r="O34" s="417">
        <f>SUM(O35:O38)</f>
        <v>245038826491</v>
      </c>
      <c r="P34" s="417">
        <f t="shared" si="14"/>
        <v>0</v>
      </c>
      <c r="Q34" s="359">
        <f>(N34/D34)*100</f>
        <v>91.77174795269073</v>
      </c>
      <c r="R34" s="359">
        <f t="shared" si="10"/>
        <v>93.77538288392064</v>
      </c>
    </row>
    <row r="35" spans="1:18" s="334" customFormat="1" ht="22.5" customHeight="1">
      <c r="A35" s="361"/>
      <c r="B35" s="362" t="s">
        <v>174</v>
      </c>
      <c r="C35" s="418"/>
      <c r="D35" s="418"/>
      <c r="E35" s="419">
        <f t="shared" si="11"/>
        <v>234962000000</v>
      </c>
      <c r="F35" s="419">
        <f t="shared" si="12"/>
        <v>234962000000</v>
      </c>
      <c r="G35" s="420">
        <v>230700000000</v>
      </c>
      <c r="H35" s="420">
        <v>-1222000000</v>
      </c>
      <c r="I35" s="420">
        <v>5484000000</v>
      </c>
      <c r="J35" s="419">
        <f t="shared" si="13"/>
        <v>0</v>
      </c>
      <c r="K35" s="420"/>
      <c r="L35" s="421"/>
      <c r="M35" s="421"/>
      <c r="N35" s="408">
        <f aca="true" t="shared" si="15" ref="N35:N44">O35+P35</f>
        <v>230434347727</v>
      </c>
      <c r="O35" s="418">
        <v>230434347727</v>
      </c>
      <c r="P35" s="418"/>
      <c r="Q35" s="363"/>
      <c r="R35" s="363">
        <f t="shared" si="10"/>
        <v>98.07302786280334</v>
      </c>
    </row>
    <row r="36" spans="1:18" s="334" customFormat="1" ht="22.5" customHeight="1">
      <c r="A36" s="361"/>
      <c r="B36" s="364" t="s">
        <v>175</v>
      </c>
      <c r="C36" s="419"/>
      <c r="D36" s="419"/>
      <c r="E36" s="419">
        <f t="shared" si="11"/>
        <v>19730000000</v>
      </c>
      <c r="F36" s="419">
        <f t="shared" si="12"/>
        <v>19730000000</v>
      </c>
      <c r="G36" s="420">
        <v>19730000000</v>
      </c>
      <c r="H36" s="420"/>
      <c r="I36" s="420"/>
      <c r="J36" s="419">
        <f>SUM(K36:M36)</f>
        <v>0</v>
      </c>
      <c r="K36" s="421"/>
      <c r="L36" s="421"/>
      <c r="M36" s="421"/>
      <c r="N36" s="408">
        <f t="shared" si="15"/>
        <v>439985643</v>
      </c>
      <c r="O36" s="418">
        <v>439985643</v>
      </c>
      <c r="P36" s="422"/>
      <c r="Q36" s="363"/>
      <c r="R36" s="363">
        <f t="shared" si="10"/>
        <v>2.2300336695387735</v>
      </c>
    </row>
    <row r="37" spans="1:18" s="334" customFormat="1" ht="22.5" customHeight="1">
      <c r="A37" s="361"/>
      <c r="B37" s="362" t="s">
        <v>176</v>
      </c>
      <c r="C37" s="419"/>
      <c r="D37" s="419"/>
      <c r="E37" s="419">
        <f t="shared" si="11"/>
        <v>0</v>
      </c>
      <c r="F37" s="419">
        <f t="shared" si="12"/>
        <v>0</v>
      </c>
      <c r="G37" s="420"/>
      <c r="H37" s="420"/>
      <c r="I37" s="420"/>
      <c r="J37" s="419">
        <f t="shared" si="13"/>
        <v>0</v>
      </c>
      <c r="K37" s="421"/>
      <c r="L37" s="421"/>
      <c r="M37" s="421"/>
      <c r="N37" s="408">
        <f t="shared" si="15"/>
        <v>0</v>
      </c>
      <c r="O37" s="418"/>
      <c r="P37" s="422"/>
      <c r="Q37" s="363"/>
      <c r="R37" s="363" t="e">
        <f t="shared" si="10"/>
        <v>#DIV/0!</v>
      </c>
    </row>
    <row r="38" spans="1:18" s="334" customFormat="1" ht="22.5" customHeight="1">
      <c r="A38" s="361"/>
      <c r="B38" s="362" t="s">
        <v>547</v>
      </c>
      <c r="C38" s="423"/>
      <c r="D38" s="423"/>
      <c r="E38" s="419">
        <f t="shared" si="11"/>
        <v>6612000000</v>
      </c>
      <c r="F38" s="419">
        <f t="shared" si="12"/>
        <v>6612000000</v>
      </c>
      <c r="G38" s="420"/>
      <c r="H38" s="420">
        <v>112000000</v>
      </c>
      <c r="I38" s="420">
        <v>6500000000</v>
      </c>
      <c r="J38" s="419">
        <f t="shared" si="13"/>
        <v>0</v>
      </c>
      <c r="K38" s="421"/>
      <c r="L38" s="421"/>
      <c r="M38" s="421"/>
      <c r="N38" s="408">
        <f t="shared" si="15"/>
        <v>14164493121</v>
      </c>
      <c r="O38" s="418">
        <v>14164493121</v>
      </c>
      <c r="P38" s="422"/>
      <c r="Q38" s="363"/>
      <c r="R38" s="363">
        <f t="shared" si="10"/>
        <v>214.22403389292194</v>
      </c>
    </row>
    <row r="39" spans="1:18" ht="22.5" customHeight="1">
      <c r="A39" s="350">
        <v>4</v>
      </c>
      <c r="B39" s="365" t="s">
        <v>245</v>
      </c>
      <c r="C39" s="424"/>
      <c r="D39" s="425"/>
      <c r="E39" s="403">
        <f t="shared" si="11"/>
        <v>100000000</v>
      </c>
      <c r="F39" s="403">
        <f t="shared" si="12"/>
        <v>100000000</v>
      </c>
      <c r="G39" s="404">
        <v>100000000</v>
      </c>
      <c r="H39" s="404"/>
      <c r="I39" s="404"/>
      <c r="J39" s="403">
        <f t="shared" si="13"/>
        <v>0</v>
      </c>
      <c r="K39" s="412"/>
      <c r="L39" s="412"/>
      <c r="M39" s="412"/>
      <c r="N39" s="405">
        <f t="shared" si="15"/>
        <v>0</v>
      </c>
      <c r="O39" s="406"/>
      <c r="P39" s="414"/>
      <c r="Q39" s="359"/>
      <c r="R39" s="359">
        <f t="shared" si="10"/>
        <v>0</v>
      </c>
    </row>
    <row r="40" spans="1:18" ht="22.5" customHeight="1">
      <c r="A40" s="350">
        <v>5</v>
      </c>
      <c r="B40" s="357" t="s">
        <v>25</v>
      </c>
      <c r="C40" s="401"/>
      <c r="D40" s="403">
        <v>246800000000</v>
      </c>
      <c r="E40" s="403">
        <f t="shared" si="11"/>
        <v>19554349755</v>
      </c>
      <c r="F40" s="403">
        <f>SUM(G40:I40)</f>
        <v>19554349755</v>
      </c>
      <c r="G40" s="404">
        <v>4500000000</v>
      </c>
      <c r="H40" s="404"/>
      <c r="I40" s="404">
        <f>13984950105+517199650+552200000</f>
        <v>15054349755</v>
      </c>
      <c r="J40" s="403">
        <f t="shared" si="13"/>
        <v>0</v>
      </c>
      <c r="K40" s="404"/>
      <c r="L40" s="412"/>
      <c r="M40" s="412"/>
      <c r="N40" s="405">
        <f t="shared" si="15"/>
        <v>26598842896</v>
      </c>
      <c r="O40" s="406">
        <v>26596842896</v>
      </c>
      <c r="P40" s="406">
        <v>2000000</v>
      </c>
      <c r="Q40" s="359"/>
      <c r="R40" s="359">
        <f t="shared" si="10"/>
        <v>136.0251976121003</v>
      </c>
    </row>
    <row r="41" spans="1:18" ht="22.5" customHeight="1">
      <c r="A41" s="350">
        <v>6</v>
      </c>
      <c r="B41" s="357" t="s">
        <v>215</v>
      </c>
      <c r="C41" s="401"/>
      <c r="D41" s="403"/>
      <c r="E41" s="403">
        <f t="shared" si="11"/>
        <v>13133135500</v>
      </c>
      <c r="F41" s="403">
        <f t="shared" si="12"/>
        <v>12177000000</v>
      </c>
      <c r="G41" s="404">
        <v>4922000000</v>
      </c>
      <c r="H41" s="404">
        <f>7320000000-65000000</f>
        <v>7255000000</v>
      </c>
      <c r="I41" s="404"/>
      <c r="J41" s="403">
        <f t="shared" si="13"/>
        <v>956135500</v>
      </c>
      <c r="K41" s="407">
        <v>523000000</v>
      </c>
      <c r="L41" s="404"/>
      <c r="M41" s="404">
        <v>433135500</v>
      </c>
      <c r="N41" s="405">
        <f t="shared" si="15"/>
        <v>8393872955</v>
      </c>
      <c r="O41" s="406">
        <v>5786261525</v>
      </c>
      <c r="P41" s="406">
        <v>2607611430</v>
      </c>
      <c r="Q41" s="359"/>
      <c r="R41" s="359">
        <f t="shared" si="10"/>
        <v>63.91370099699345</v>
      </c>
    </row>
    <row r="42" spans="1:18" ht="22.5" customHeight="1">
      <c r="A42" s="350">
        <v>7</v>
      </c>
      <c r="B42" s="357" t="s">
        <v>101</v>
      </c>
      <c r="C42" s="401"/>
      <c r="D42" s="403"/>
      <c r="E42" s="403">
        <f t="shared" si="11"/>
        <v>1527000000</v>
      </c>
      <c r="F42" s="403">
        <f t="shared" si="12"/>
        <v>1040000000</v>
      </c>
      <c r="G42" s="404">
        <v>1040000000</v>
      </c>
      <c r="H42" s="404"/>
      <c r="I42" s="404"/>
      <c r="J42" s="403">
        <f t="shared" si="13"/>
        <v>487000000</v>
      </c>
      <c r="K42" s="407">
        <v>487000000</v>
      </c>
      <c r="L42" s="404"/>
      <c r="M42" s="404"/>
      <c r="N42" s="405">
        <f t="shared" si="15"/>
        <v>1641566852</v>
      </c>
      <c r="O42" s="406">
        <v>954586352</v>
      </c>
      <c r="P42" s="406">
        <v>686980500</v>
      </c>
      <c r="Q42" s="359"/>
      <c r="R42" s="359">
        <f t="shared" si="10"/>
        <v>107.50274079895219</v>
      </c>
    </row>
    <row r="43" spans="1:18" ht="22.5" customHeight="1">
      <c r="A43" s="350">
        <v>8</v>
      </c>
      <c r="B43" s="357" t="s">
        <v>216</v>
      </c>
      <c r="C43" s="401"/>
      <c r="D43" s="403">
        <v>333000000</v>
      </c>
      <c r="E43" s="403">
        <f t="shared" si="11"/>
        <v>5509000000</v>
      </c>
      <c r="F43" s="403">
        <f t="shared" si="12"/>
        <v>5076000000</v>
      </c>
      <c r="G43" s="404">
        <v>1076000000</v>
      </c>
      <c r="H43" s="404">
        <v>4000000000</v>
      </c>
      <c r="I43" s="404"/>
      <c r="J43" s="403">
        <f t="shared" si="13"/>
        <v>433000000</v>
      </c>
      <c r="K43" s="407">
        <v>433000000</v>
      </c>
      <c r="L43" s="404"/>
      <c r="M43" s="404"/>
      <c r="N43" s="405">
        <f t="shared" si="15"/>
        <v>6250072873</v>
      </c>
      <c r="O43" s="406">
        <v>5216552000</v>
      </c>
      <c r="P43" s="406">
        <v>1033520873</v>
      </c>
      <c r="Q43" s="359"/>
      <c r="R43" s="359">
        <f t="shared" si="10"/>
        <v>113.45203980758758</v>
      </c>
    </row>
    <row r="44" spans="1:18" s="334" customFormat="1" ht="22.5" customHeight="1">
      <c r="A44" s="350">
        <v>9</v>
      </c>
      <c r="B44" s="357" t="s">
        <v>144</v>
      </c>
      <c r="C44" s="403">
        <v>28350000000</v>
      </c>
      <c r="D44" s="403">
        <f>C44+2988000000</f>
        <v>31338000000</v>
      </c>
      <c r="E44" s="403">
        <f t="shared" si="11"/>
        <v>32410992400</v>
      </c>
      <c r="F44" s="403">
        <f>SUM(G44:I44)</f>
        <v>31264992400</v>
      </c>
      <c r="G44" s="404">
        <v>27204000000</v>
      </c>
      <c r="H44" s="404"/>
      <c r="I44" s="404">
        <f>2988000000+1072992400</f>
        <v>4060992400</v>
      </c>
      <c r="J44" s="403">
        <f t="shared" si="13"/>
        <v>1146000000</v>
      </c>
      <c r="K44" s="407">
        <v>1146000000</v>
      </c>
      <c r="L44" s="404"/>
      <c r="M44" s="404"/>
      <c r="N44" s="405">
        <f t="shared" si="15"/>
        <v>31482223533</v>
      </c>
      <c r="O44" s="406">
        <v>30246114853</v>
      </c>
      <c r="P44" s="406">
        <v>1236108680</v>
      </c>
      <c r="Q44" s="359">
        <f>(N44/D44)*100</f>
        <v>100.46021932797242</v>
      </c>
      <c r="R44" s="359">
        <f t="shared" si="10"/>
        <v>97.13440163899455</v>
      </c>
    </row>
    <row r="45" spans="1:18" ht="22.5" customHeight="1">
      <c r="A45" s="350">
        <v>10</v>
      </c>
      <c r="B45" s="357" t="s">
        <v>217</v>
      </c>
      <c r="C45" s="414"/>
      <c r="D45" s="406">
        <f>D46+D51+D52+D53+D54+D55</f>
        <v>15000000000</v>
      </c>
      <c r="E45" s="403">
        <f aca="true" t="shared" si="16" ref="E45:Q45">E46+E51+E52+E53+E54+E55</f>
        <v>138454056300</v>
      </c>
      <c r="F45" s="403">
        <f t="shared" si="16"/>
        <v>114041000000</v>
      </c>
      <c r="G45" s="407">
        <f t="shared" si="16"/>
        <v>47951000000</v>
      </c>
      <c r="H45" s="407">
        <f t="shared" si="16"/>
        <v>51090000000</v>
      </c>
      <c r="I45" s="407">
        <f t="shared" si="16"/>
        <v>15000000000</v>
      </c>
      <c r="J45" s="403">
        <f t="shared" si="16"/>
        <v>24413056300</v>
      </c>
      <c r="K45" s="407">
        <f t="shared" si="16"/>
        <v>1460000000</v>
      </c>
      <c r="L45" s="407">
        <f t="shared" si="16"/>
        <v>0</v>
      </c>
      <c r="M45" s="407">
        <f t="shared" si="16"/>
        <v>22953056300</v>
      </c>
      <c r="N45" s="403">
        <f>N46+N50+N51+N52+N53+N54+N55</f>
        <v>104728822718</v>
      </c>
      <c r="O45" s="403">
        <f t="shared" si="16"/>
        <v>79613046613</v>
      </c>
      <c r="P45" s="403">
        <f>P46+P50+P51+P52+P53+P54+P55</f>
        <v>25115776105</v>
      </c>
      <c r="Q45" s="358">
        <f t="shared" si="16"/>
        <v>0</v>
      </c>
      <c r="R45" s="359">
        <f t="shared" si="10"/>
        <v>75.64157058069523</v>
      </c>
    </row>
    <row r="46" spans="1:18" s="334" customFormat="1" ht="22.5" customHeight="1">
      <c r="A46" s="350" t="s">
        <v>138</v>
      </c>
      <c r="B46" s="357" t="s">
        <v>177</v>
      </c>
      <c r="C46" s="403">
        <f>SUM(C47:C49)</f>
        <v>0</v>
      </c>
      <c r="D46" s="403">
        <v>0</v>
      </c>
      <c r="E46" s="426">
        <f aca="true" t="shared" si="17" ref="E46:E75">F46+J46</f>
        <v>33461056300</v>
      </c>
      <c r="F46" s="426">
        <f>SUM(G46:I46)</f>
        <v>9048000000</v>
      </c>
      <c r="G46" s="407">
        <f>SUM(G47:G50)</f>
        <v>4451000000</v>
      </c>
      <c r="H46" s="407">
        <f>SUM(H47:H50)</f>
        <v>4597000000</v>
      </c>
      <c r="I46" s="407">
        <f>SUM(I47:I49)</f>
        <v>0</v>
      </c>
      <c r="J46" s="403">
        <f aca="true" t="shared" si="18" ref="J46:J75">SUM(K46:M46)</f>
        <v>24413056300</v>
      </c>
      <c r="K46" s="407">
        <f>SUM(K47:K50)</f>
        <v>1460000000</v>
      </c>
      <c r="L46" s="407">
        <f>SUM(L47:L50)</f>
        <v>0</v>
      </c>
      <c r="M46" s="407">
        <f>SUM(M47:M50)</f>
        <v>22953056300</v>
      </c>
      <c r="N46" s="427">
        <f>O46+P46</f>
        <v>32182750828</v>
      </c>
      <c r="O46" s="428">
        <f>O47+O48+O49+O50</f>
        <v>7180895723</v>
      </c>
      <c r="P46" s="428">
        <f>P47+P48+P49</f>
        <v>25001855105</v>
      </c>
      <c r="Q46" s="359"/>
      <c r="R46" s="359">
        <f t="shared" si="10"/>
        <v>96.17972170233013</v>
      </c>
    </row>
    <row r="47" spans="1:18" s="334" customFormat="1" ht="22.5" customHeight="1">
      <c r="A47" s="361"/>
      <c r="B47" s="364" t="s">
        <v>178</v>
      </c>
      <c r="C47" s="419"/>
      <c r="D47" s="419"/>
      <c r="E47" s="419">
        <f t="shared" si="17"/>
        <v>31349056300</v>
      </c>
      <c r="F47" s="419">
        <f aca="true" t="shared" si="19" ref="F47:F75">SUM(G47:I47)</f>
        <v>6936000000</v>
      </c>
      <c r="G47" s="420">
        <f>2250000000+1001000000</f>
        <v>3251000000</v>
      </c>
      <c r="H47" s="420">
        <f>3702000000-17000000</f>
        <v>3685000000</v>
      </c>
      <c r="I47" s="420"/>
      <c r="J47" s="419">
        <f t="shared" si="18"/>
        <v>24413056300</v>
      </c>
      <c r="K47" s="429">
        <v>1460000000</v>
      </c>
      <c r="L47" s="420"/>
      <c r="M47" s="420">
        <v>22953056300</v>
      </c>
      <c r="N47" s="408">
        <f aca="true" t="shared" si="20" ref="N47:N63">O47+P47</f>
        <v>29791342680</v>
      </c>
      <c r="O47" s="418">
        <v>4789487575</v>
      </c>
      <c r="P47" s="418">
        <v>25001855105</v>
      </c>
      <c r="Q47" s="363"/>
      <c r="R47" s="363">
        <f t="shared" si="10"/>
        <v>95.03106694793871</v>
      </c>
    </row>
    <row r="48" spans="1:18" s="334" customFormat="1" ht="22.5" customHeight="1">
      <c r="A48" s="361"/>
      <c r="B48" s="366" t="s">
        <v>246</v>
      </c>
      <c r="C48" s="419"/>
      <c r="D48" s="419"/>
      <c r="E48" s="419">
        <f t="shared" si="17"/>
        <v>0</v>
      </c>
      <c r="F48" s="419">
        <f t="shared" si="19"/>
        <v>0</v>
      </c>
      <c r="G48" s="420"/>
      <c r="H48" s="420"/>
      <c r="I48" s="420"/>
      <c r="J48" s="430">
        <f t="shared" si="18"/>
        <v>0</v>
      </c>
      <c r="K48" s="420"/>
      <c r="L48" s="420"/>
      <c r="M48" s="420"/>
      <c r="N48" s="408">
        <f t="shared" si="20"/>
        <v>0</v>
      </c>
      <c r="O48" s="418"/>
      <c r="P48" s="422"/>
      <c r="Q48" s="363"/>
      <c r="R48" s="363"/>
    </row>
    <row r="49" spans="1:18" s="334" customFormat="1" ht="22.5" customHeight="1">
      <c r="A49" s="361"/>
      <c r="B49" s="364" t="s">
        <v>179</v>
      </c>
      <c r="C49" s="419"/>
      <c r="D49" s="419"/>
      <c r="E49" s="419">
        <f t="shared" si="17"/>
        <v>2112000000</v>
      </c>
      <c r="F49" s="419">
        <f>SUM(G49:I49)</f>
        <v>2112000000</v>
      </c>
      <c r="G49" s="420">
        <v>1200000000</v>
      </c>
      <c r="H49" s="420">
        <v>912000000</v>
      </c>
      <c r="I49" s="420"/>
      <c r="J49" s="430">
        <f t="shared" si="18"/>
        <v>0</v>
      </c>
      <c r="K49" s="420"/>
      <c r="L49" s="420"/>
      <c r="M49" s="420"/>
      <c r="N49" s="408">
        <f t="shared" si="20"/>
        <v>2391408148</v>
      </c>
      <c r="O49" s="418">
        <v>2391408148</v>
      </c>
      <c r="P49" s="418"/>
      <c r="Q49" s="363"/>
      <c r="R49" s="363">
        <f>(N49/E49)*100</f>
        <v>113.2295524621212</v>
      </c>
    </row>
    <row r="50" spans="1:18" s="334" customFormat="1" ht="22.5" customHeight="1">
      <c r="A50" s="361" t="s">
        <v>548</v>
      </c>
      <c r="B50" s="366" t="s">
        <v>549</v>
      </c>
      <c r="C50" s="419"/>
      <c r="D50" s="419"/>
      <c r="E50" s="419">
        <f t="shared" si="17"/>
        <v>0</v>
      </c>
      <c r="F50" s="419">
        <f>SUM(G50:I50)</f>
        <v>0</v>
      </c>
      <c r="G50" s="420"/>
      <c r="H50" s="420"/>
      <c r="I50" s="420"/>
      <c r="J50" s="430">
        <f t="shared" si="18"/>
        <v>0</v>
      </c>
      <c r="K50" s="420"/>
      <c r="L50" s="420"/>
      <c r="M50" s="420"/>
      <c r="N50" s="408">
        <f t="shared" si="20"/>
        <v>46685000</v>
      </c>
      <c r="O50" s="418"/>
      <c r="P50" s="418">
        <v>46685000</v>
      </c>
      <c r="Q50" s="363"/>
      <c r="R50" s="363"/>
    </row>
    <row r="51" spans="1:18" s="334" customFormat="1" ht="22.5" customHeight="1">
      <c r="A51" s="350" t="s">
        <v>140</v>
      </c>
      <c r="B51" s="357" t="s">
        <v>335</v>
      </c>
      <c r="C51" s="403"/>
      <c r="D51" s="403"/>
      <c r="E51" s="403">
        <f t="shared" si="17"/>
        <v>300000000</v>
      </c>
      <c r="F51" s="403">
        <f t="shared" si="19"/>
        <v>300000000</v>
      </c>
      <c r="G51" s="404">
        <v>300000000</v>
      </c>
      <c r="H51" s="404"/>
      <c r="I51" s="404"/>
      <c r="J51" s="401">
        <f t="shared" si="18"/>
        <v>0</v>
      </c>
      <c r="K51" s="412"/>
      <c r="L51" s="412"/>
      <c r="M51" s="412"/>
      <c r="N51" s="405">
        <f t="shared" si="20"/>
        <v>300000000</v>
      </c>
      <c r="O51" s="406">
        <v>300000000</v>
      </c>
      <c r="P51" s="414"/>
      <c r="Q51" s="359"/>
      <c r="R51" s="359">
        <f>(N51/E51)*100</f>
        <v>100</v>
      </c>
    </row>
    <row r="52" spans="1:18" s="334" customFormat="1" ht="22.5" customHeight="1">
      <c r="A52" s="350" t="s">
        <v>146</v>
      </c>
      <c r="B52" s="357" t="s">
        <v>180</v>
      </c>
      <c r="C52" s="403"/>
      <c r="D52" s="403">
        <v>15000000000</v>
      </c>
      <c r="E52" s="403">
        <f t="shared" si="17"/>
        <v>2504000000</v>
      </c>
      <c r="F52" s="403">
        <f t="shared" si="19"/>
        <v>2504000000</v>
      </c>
      <c r="G52" s="404">
        <v>900000000</v>
      </c>
      <c r="H52" s="404">
        <v>1604000000</v>
      </c>
      <c r="I52" s="404"/>
      <c r="J52" s="401">
        <f t="shared" si="18"/>
        <v>0</v>
      </c>
      <c r="K52" s="412"/>
      <c r="L52" s="412"/>
      <c r="M52" s="412"/>
      <c r="N52" s="405">
        <f t="shared" si="20"/>
        <v>2542637610</v>
      </c>
      <c r="O52" s="406">
        <v>2475401610</v>
      </c>
      <c r="P52" s="406">
        <v>67236000</v>
      </c>
      <c r="Q52" s="359"/>
      <c r="R52" s="359">
        <f>(N52/E52)*100</f>
        <v>101.543035543131</v>
      </c>
    </row>
    <row r="53" spans="1:18" s="334" customFormat="1" ht="22.5" customHeight="1">
      <c r="A53" s="350" t="s">
        <v>247</v>
      </c>
      <c r="B53" s="357" t="s">
        <v>181</v>
      </c>
      <c r="C53" s="403"/>
      <c r="D53" s="403"/>
      <c r="E53" s="403">
        <f t="shared" si="17"/>
        <v>100389000000</v>
      </c>
      <c r="F53" s="403">
        <f t="shared" si="19"/>
        <v>100389000000</v>
      </c>
      <c r="G53" s="404">
        <v>40500000000</v>
      </c>
      <c r="H53" s="404">
        <v>44889000000</v>
      </c>
      <c r="I53" s="404">
        <v>15000000000</v>
      </c>
      <c r="J53" s="403">
        <f t="shared" si="18"/>
        <v>0</v>
      </c>
      <c r="K53" s="404"/>
      <c r="L53" s="404"/>
      <c r="M53" s="404"/>
      <c r="N53" s="405">
        <f t="shared" si="20"/>
        <v>69656749280</v>
      </c>
      <c r="O53" s="406">
        <v>69656749280</v>
      </c>
      <c r="P53" s="414"/>
      <c r="Q53" s="359"/>
      <c r="R53" s="359">
        <f>(N53/E53)*100</f>
        <v>69.38683449381904</v>
      </c>
    </row>
    <row r="54" spans="1:18" s="334" customFormat="1" ht="22.5" customHeight="1">
      <c r="A54" s="350" t="s">
        <v>248</v>
      </c>
      <c r="B54" s="357" t="s">
        <v>249</v>
      </c>
      <c r="C54" s="403"/>
      <c r="D54" s="403"/>
      <c r="E54" s="403">
        <f t="shared" si="17"/>
        <v>0</v>
      </c>
      <c r="F54" s="403">
        <f t="shared" si="19"/>
        <v>0</v>
      </c>
      <c r="G54" s="404"/>
      <c r="H54" s="404"/>
      <c r="I54" s="404"/>
      <c r="J54" s="403">
        <f t="shared" si="18"/>
        <v>0</v>
      </c>
      <c r="K54" s="404"/>
      <c r="L54" s="404"/>
      <c r="M54" s="404"/>
      <c r="N54" s="405">
        <f t="shared" si="20"/>
        <v>0</v>
      </c>
      <c r="O54" s="406"/>
      <c r="P54" s="414"/>
      <c r="Q54" s="359"/>
      <c r="R54" s="359"/>
    </row>
    <row r="55" spans="1:18" s="334" customFormat="1" ht="22.5" customHeight="1">
      <c r="A55" s="350" t="s">
        <v>250</v>
      </c>
      <c r="B55" s="357" t="s">
        <v>251</v>
      </c>
      <c r="C55" s="403"/>
      <c r="D55" s="403"/>
      <c r="E55" s="403">
        <f t="shared" si="17"/>
        <v>1800000000</v>
      </c>
      <c r="F55" s="403">
        <f t="shared" si="19"/>
        <v>1800000000</v>
      </c>
      <c r="G55" s="404">
        <v>1800000000</v>
      </c>
      <c r="H55" s="404"/>
      <c r="I55" s="404"/>
      <c r="J55" s="403">
        <f t="shared" si="18"/>
        <v>0</v>
      </c>
      <c r="K55" s="404"/>
      <c r="L55" s="404"/>
      <c r="M55" s="404"/>
      <c r="N55" s="405">
        <f t="shared" si="20"/>
        <v>0</v>
      </c>
      <c r="O55" s="406"/>
      <c r="P55" s="406"/>
      <c r="Q55" s="359"/>
      <c r="R55" s="359"/>
    </row>
    <row r="56" spans="1:18" ht="30.75" customHeight="1">
      <c r="A56" s="350">
        <v>11</v>
      </c>
      <c r="B56" s="357" t="s">
        <v>238</v>
      </c>
      <c r="C56" s="414"/>
      <c r="D56" s="417">
        <f>D57</f>
        <v>16724000000</v>
      </c>
      <c r="E56" s="415">
        <f t="shared" si="17"/>
        <v>131906068443</v>
      </c>
      <c r="F56" s="415">
        <f t="shared" si="19"/>
        <v>52385827845</v>
      </c>
      <c r="G56" s="416">
        <f>SUM(G57:G60)</f>
        <v>44956000000</v>
      </c>
      <c r="H56" s="416">
        <f>SUM(H57:H60)</f>
        <v>6617000000</v>
      </c>
      <c r="I56" s="416">
        <f>SUM(I57:I60)</f>
        <v>812827845</v>
      </c>
      <c r="J56" s="415">
        <f t="shared" si="18"/>
        <v>79520240598</v>
      </c>
      <c r="K56" s="416">
        <f>SUM(K57:K60)</f>
        <v>59958000000</v>
      </c>
      <c r="L56" s="416">
        <f>SUM(L57:L60)</f>
        <v>11007633298</v>
      </c>
      <c r="M56" s="416">
        <f>SUM(M57:M60)</f>
        <v>8554607300</v>
      </c>
      <c r="N56" s="431">
        <f t="shared" si="20"/>
        <v>134006632693</v>
      </c>
      <c r="O56" s="417">
        <f>SUM(O57:O60)</f>
        <v>50748920977</v>
      </c>
      <c r="P56" s="417">
        <f>SUM(P57:P60)</f>
        <v>83257711716</v>
      </c>
      <c r="Q56" s="359"/>
      <c r="R56" s="359">
        <f>(N56/E56)*100</f>
        <v>101.5924697588176</v>
      </c>
    </row>
    <row r="57" spans="1:18" s="334" customFormat="1" ht="22.5" customHeight="1">
      <c r="A57" s="361"/>
      <c r="B57" s="364" t="s">
        <v>170</v>
      </c>
      <c r="C57" s="423"/>
      <c r="D57" s="419">
        <v>16724000000</v>
      </c>
      <c r="E57" s="419">
        <f>F57+J57</f>
        <v>106494068443</v>
      </c>
      <c r="F57" s="419">
        <f>SUM(G57:I57)</f>
        <v>34206827845</v>
      </c>
      <c r="G57" s="420">
        <f>29929000000-3267000000</f>
        <v>26662000000</v>
      </c>
      <c r="H57" s="420">
        <f>7271000000-539000000</f>
        <v>6732000000</v>
      </c>
      <c r="I57" s="420">
        <f>43981000000-1072992400-13984950105-517199650-552200000-27040830000</f>
        <v>812827845</v>
      </c>
      <c r="J57" s="419">
        <f t="shared" si="18"/>
        <v>72287240598</v>
      </c>
      <c r="K57" s="420">
        <v>52725000000</v>
      </c>
      <c r="L57" s="420">
        <v>11007633298</v>
      </c>
      <c r="M57" s="420">
        <v>8554607300</v>
      </c>
      <c r="N57" s="408">
        <f t="shared" si="20"/>
        <v>93415235425</v>
      </c>
      <c r="O57" s="418">
        <v>31578272312</v>
      </c>
      <c r="P57" s="418">
        <v>61836963113</v>
      </c>
      <c r="Q57" s="363"/>
      <c r="R57" s="363">
        <f>(N57/E57)*100</f>
        <v>87.71872160654625</v>
      </c>
    </row>
    <row r="58" spans="1:18" s="334" customFormat="1" ht="22.5" customHeight="1">
      <c r="A58" s="361"/>
      <c r="B58" s="364" t="s">
        <v>182</v>
      </c>
      <c r="C58" s="423"/>
      <c r="D58" s="419"/>
      <c r="E58" s="419">
        <f t="shared" si="17"/>
        <v>16565000000</v>
      </c>
      <c r="F58" s="419">
        <f t="shared" si="19"/>
        <v>12961000000</v>
      </c>
      <c r="G58" s="420">
        <v>13050000000</v>
      </c>
      <c r="H58" s="420">
        <f>354000000-443000000</f>
        <v>-89000000</v>
      </c>
      <c r="I58" s="420"/>
      <c r="J58" s="419">
        <f t="shared" si="18"/>
        <v>3604000000</v>
      </c>
      <c r="K58" s="420">
        <v>3604000000</v>
      </c>
      <c r="L58" s="420"/>
      <c r="M58" s="420"/>
      <c r="N58" s="408">
        <f t="shared" si="20"/>
        <v>24909622466</v>
      </c>
      <c r="O58" s="418">
        <v>17229345070</v>
      </c>
      <c r="P58" s="418">
        <v>7680277396</v>
      </c>
      <c r="Q58" s="363"/>
      <c r="R58" s="363">
        <f>(N58/E58)*100</f>
        <v>150.37502243284032</v>
      </c>
    </row>
    <row r="59" spans="1:18" s="334" customFormat="1" ht="22.5" customHeight="1">
      <c r="A59" s="361"/>
      <c r="B59" s="364" t="s">
        <v>550</v>
      </c>
      <c r="C59" s="423"/>
      <c r="D59" s="419"/>
      <c r="E59" s="419">
        <f t="shared" si="17"/>
        <v>5580000000</v>
      </c>
      <c r="F59" s="419">
        <f t="shared" si="19"/>
        <v>1951000000</v>
      </c>
      <c r="G59" s="420">
        <v>1977000000</v>
      </c>
      <c r="H59" s="420">
        <v>-26000000</v>
      </c>
      <c r="I59" s="420"/>
      <c r="J59" s="419">
        <f t="shared" si="18"/>
        <v>3629000000</v>
      </c>
      <c r="K59" s="420">
        <v>3629000000</v>
      </c>
      <c r="L59" s="420"/>
      <c r="M59" s="420"/>
      <c r="N59" s="408">
        <f t="shared" si="20"/>
        <v>15681774802</v>
      </c>
      <c r="O59" s="418">
        <v>1941303595</v>
      </c>
      <c r="P59" s="418">
        <f>11419963844+2320507363</f>
        <v>13740471207</v>
      </c>
      <c r="Q59" s="363"/>
      <c r="R59" s="363">
        <f>(N59/E59)*100</f>
        <v>281.0353907168459</v>
      </c>
    </row>
    <row r="60" spans="1:18" s="334" customFormat="1" ht="22.5" customHeight="1">
      <c r="A60" s="361"/>
      <c r="B60" s="364" t="s">
        <v>239</v>
      </c>
      <c r="C60" s="423"/>
      <c r="D60" s="419"/>
      <c r="E60" s="419">
        <f t="shared" si="17"/>
        <v>3267000000</v>
      </c>
      <c r="F60" s="419">
        <f t="shared" si="19"/>
        <v>3267000000</v>
      </c>
      <c r="G60" s="420">
        <v>3267000000</v>
      </c>
      <c r="H60" s="420"/>
      <c r="I60" s="420"/>
      <c r="J60" s="419">
        <f t="shared" si="18"/>
        <v>0</v>
      </c>
      <c r="K60" s="420"/>
      <c r="L60" s="420"/>
      <c r="M60" s="420"/>
      <c r="N60" s="408">
        <f t="shared" si="20"/>
        <v>0</v>
      </c>
      <c r="O60" s="418"/>
      <c r="P60" s="418"/>
      <c r="Q60" s="363"/>
      <c r="R60" s="363"/>
    </row>
    <row r="61" spans="1:18" ht="22.5" customHeight="1">
      <c r="A61" s="350">
        <v>12</v>
      </c>
      <c r="B61" s="357" t="s">
        <v>102</v>
      </c>
      <c r="C61" s="401"/>
      <c r="D61" s="403">
        <f>690000000+3994000000</f>
        <v>4684000000</v>
      </c>
      <c r="E61" s="403">
        <f>F61+J61</f>
        <v>154047030000</v>
      </c>
      <c r="F61" s="403">
        <f>SUM(G61:I61)</f>
        <v>64846830000</v>
      </c>
      <c r="G61" s="404">
        <v>33038000000</v>
      </c>
      <c r="H61" s="404">
        <v>879000000</v>
      </c>
      <c r="I61" s="404">
        <f>3889000000+27040830000</f>
        <v>30929830000</v>
      </c>
      <c r="J61" s="403">
        <f t="shared" si="18"/>
        <v>89200200000</v>
      </c>
      <c r="K61" s="404">
        <v>397000000</v>
      </c>
      <c r="L61" s="404">
        <v>30000000000</v>
      </c>
      <c r="M61" s="404">
        <v>58803200000</v>
      </c>
      <c r="N61" s="405">
        <f t="shared" si="20"/>
        <v>187219946166</v>
      </c>
      <c r="O61" s="406">
        <v>93725342940</v>
      </c>
      <c r="P61" s="406">
        <v>93494603226</v>
      </c>
      <c r="Q61" s="359"/>
      <c r="R61" s="359">
        <f>(N61/E61)*100</f>
        <v>121.53427830838413</v>
      </c>
    </row>
    <row r="62" spans="1:18" s="355" customFormat="1" ht="22.5" customHeight="1">
      <c r="A62" s="350">
        <v>13</v>
      </c>
      <c r="B62" s="357" t="s">
        <v>551</v>
      </c>
      <c r="C62" s="403">
        <v>271662000000</v>
      </c>
      <c r="D62" s="403">
        <f>C62</f>
        <v>271662000000</v>
      </c>
      <c r="E62" s="403">
        <f t="shared" si="17"/>
        <v>33490000000</v>
      </c>
      <c r="F62" s="403">
        <f t="shared" si="19"/>
        <v>24890000000</v>
      </c>
      <c r="G62" s="404">
        <v>23951000000</v>
      </c>
      <c r="H62" s="404">
        <f>1973000000-1139000000</f>
        <v>834000000</v>
      </c>
      <c r="I62" s="404">
        <v>105000000</v>
      </c>
      <c r="J62" s="403">
        <f t="shared" si="18"/>
        <v>8600000000</v>
      </c>
      <c r="K62" s="404">
        <v>8600000000</v>
      </c>
      <c r="L62" s="404"/>
      <c r="M62" s="404"/>
      <c r="N62" s="405">
        <f t="shared" si="20"/>
        <v>741162000</v>
      </c>
      <c r="O62" s="406">
        <v>741162000</v>
      </c>
      <c r="P62" s="406"/>
      <c r="Q62" s="359">
        <f>SUM(N62/C62)*100</f>
        <v>0.2728250546635157</v>
      </c>
      <c r="R62" s="359">
        <f>(N62/E62)*100</f>
        <v>2.2130845028366677</v>
      </c>
    </row>
    <row r="63" spans="1:18" s="355" customFormat="1" ht="33.75" customHeight="1">
      <c r="A63" s="350">
        <v>14</v>
      </c>
      <c r="B63" s="357" t="s">
        <v>596</v>
      </c>
      <c r="C63" s="432"/>
      <c r="D63" s="432"/>
      <c r="E63" s="401">
        <f t="shared" si="17"/>
        <v>16100000000</v>
      </c>
      <c r="F63" s="401">
        <f>SUM(G63:I63)</f>
        <v>13886000000</v>
      </c>
      <c r="G63" s="433">
        <f>16100000000-K63</f>
        <v>13886000000</v>
      </c>
      <c r="H63" s="433">
        <f>3715293470-L63</f>
        <v>3526169059</v>
      </c>
      <c r="I63" s="433">
        <v>-3526169059</v>
      </c>
      <c r="J63" s="401">
        <f t="shared" si="18"/>
        <v>2214000000</v>
      </c>
      <c r="K63" s="412">
        <v>2214000000</v>
      </c>
      <c r="L63" s="412">
        <v>189124411</v>
      </c>
      <c r="M63" s="412">
        <v>-189124411</v>
      </c>
      <c r="N63" s="408">
        <f t="shared" si="20"/>
        <v>0</v>
      </c>
      <c r="O63" s="406"/>
      <c r="P63" s="414"/>
      <c r="Q63" s="359"/>
      <c r="R63" s="359">
        <f>(N63/E63)*100</f>
        <v>0</v>
      </c>
    </row>
    <row r="64" spans="1:18" s="355" customFormat="1" ht="22.5" customHeight="1">
      <c r="A64" s="338" t="s">
        <v>17</v>
      </c>
      <c r="B64" s="367" t="s">
        <v>186</v>
      </c>
      <c r="C64" s="432">
        <v>0</v>
      </c>
      <c r="D64" s="432">
        <v>0</v>
      </c>
      <c r="E64" s="401">
        <f t="shared" si="17"/>
        <v>0</v>
      </c>
      <c r="F64" s="401"/>
      <c r="G64" s="433"/>
      <c r="H64" s="433"/>
      <c r="I64" s="433"/>
      <c r="J64" s="401">
        <f t="shared" si="18"/>
        <v>0</v>
      </c>
      <c r="K64" s="412">
        <v>0</v>
      </c>
      <c r="L64" s="412"/>
      <c r="M64" s="412"/>
      <c r="N64" s="408"/>
      <c r="O64" s="406"/>
      <c r="P64" s="414"/>
      <c r="Q64" s="359"/>
      <c r="R64" s="359"/>
    </row>
    <row r="65" spans="1:18" s="355" customFormat="1" ht="22.5" customHeight="1">
      <c r="A65" s="338" t="s">
        <v>19</v>
      </c>
      <c r="B65" s="356" t="s">
        <v>224</v>
      </c>
      <c r="C65" s="413"/>
      <c r="D65" s="413"/>
      <c r="E65" s="401">
        <f t="shared" si="17"/>
        <v>0</v>
      </c>
      <c r="F65" s="401">
        <f t="shared" si="19"/>
        <v>0</v>
      </c>
      <c r="G65" s="412"/>
      <c r="H65" s="412"/>
      <c r="I65" s="412"/>
      <c r="J65" s="401">
        <f t="shared" si="18"/>
        <v>0</v>
      </c>
      <c r="K65" s="412"/>
      <c r="L65" s="412"/>
      <c r="M65" s="412"/>
      <c r="N65" s="408">
        <f>O65+P65</f>
        <v>0</v>
      </c>
      <c r="O65" s="414"/>
      <c r="P65" s="414"/>
      <c r="Q65" s="359"/>
      <c r="R65" s="359"/>
    </row>
    <row r="66" spans="1:18" s="355" customFormat="1" ht="22.5" customHeight="1">
      <c r="A66" s="338" t="s">
        <v>29</v>
      </c>
      <c r="B66" s="368" t="s">
        <v>74</v>
      </c>
      <c r="C66" s="413"/>
      <c r="D66" s="413"/>
      <c r="E66" s="401">
        <f>F66+J66</f>
        <v>79461700952</v>
      </c>
      <c r="F66" s="401">
        <f>SUM(G66:I66)-59417919062</f>
        <v>66092633708</v>
      </c>
      <c r="G66" s="412"/>
      <c r="H66" s="412">
        <v>125510552770</v>
      </c>
      <c r="I66" s="412"/>
      <c r="J66" s="401">
        <f>SUM(K66:M66)</f>
        <v>13369067244</v>
      </c>
      <c r="K66" s="412"/>
      <c r="L66" s="402">
        <f>25226867776-11857800532</f>
        <v>13369067244</v>
      </c>
      <c r="M66" s="412"/>
      <c r="N66" s="411">
        <f>O66+P66</f>
        <v>200546150936</v>
      </c>
      <c r="O66" s="414">
        <f>'[8]60'!I20</f>
        <v>181965936467</v>
      </c>
      <c r="P66" s="414">
        <f>'[8]60'!J20</f>
        <v>18580214469</v>
      </c>
      <c r="Q66" s="359"/>
      <c r="R66" s="359">
        <f>(N66/E66)*100</f>
        <v>252.3808936045087</v>
      </c>
    </row>
    <row r="67" spans="1:18" s="355" customFormat="1" ht="22.5" customHeight="1">
      <c r="A67" s="338" t="s">
        <v>108</v>
      </c>
      <c r="B67" s="367" t="s">
        <v>337</v>
      </c>
      <c r="C67" s="413"/>
      <c r="D67" s="413"/>
      <c r="E67" s="401">
        <f t="shared" si="17"/>
        <v>9025286565</v>
      </c>
      <c r="F67" s="401">
        <f>SUM(G67:I67)</f>
        <v>5727000000</v>
      </c>
      <c r="G67" s="433"/>
      <c r="H67" s="433"/>
      <c r="I67" s="433">
        <v>5727000000</v>
      </c>
      <c r="J67" s="401">
        <f t="shared" si="18"/>
        <v>3298286565</v>
      </c>
      <c r="K67" s="412"/>
      <c r="L67" s="412">
        <v>3298286565</v>
      </c>
      <c r="M67" s="412"/>
      <c r="N67" s="408"/>
      <c r="O67" s="414"/>
      <c r="P67" s="414"/>
      <c r="Q67" s="359"/>
      <c r="R67" s="359">
        <f>(N67/E67)*100</f>
        <v>0</v>
      </c>
    </row>
    <row r="68" spans="1:18" s="355" customFormat="1" ht="22.5" customHeight="1">
      <c r="A68" s="338" t="s">
        <v>109</v>
      </c>
      <c r="B68" s="367" t="s">
        <v>597</v>
      </c>
      <c r="C68" s="413"/>
      <c r="D68" s="413"/>
      <c r="E68" s="401">
        <f t="shared" si="17"/>
        <v>130530000000</v>
      </c>
      <c r="F68" s="401">
        <f>SUM(G68:I68)</f>
        <v>130530000000</v>
      </c>
      <c r="G68" s="433"/>
      <c r="H68" s="433"/>
      <c r="I68" s="433">
        <v>130530000000</v>
      </c>
      <c r="J68" s="401"/>
      <c r="K68" s="412"/>
      <c r="L68" s="412"/>
      <c r="M68" s="412"/>
      <c r="N68" s="408"/>
      <c r="O68" s="414"/>
      <c r="P68" s="414"/>
      <c r="Q68" s="359"/>
      <c r="R68" s="359"/>
    </row>
    <row r="69" spans="1:18" s="355" customFormat="1" ht="22.5" customHeight="1">
      <c r="A69" s="338" t="s">
        <v>110</v>
      </c>
      <c r="B69" s="367" t="s">
        <v>183</v>
      </c>
      <c r="C69" s="432">
        <v>15331000000</v>
      </c>
      <c r="D69" s="432">
        <f>C69</f>
        <v>15331000000</v>
      </c>
      <c r="E69" s="401">
        <f t="shared" si="17"/>
        <v>18857169059</v>
      </c>
      <c r="F69" s="401">
        <f t="shared" si="19"/>
        <v>17050169059</v>
      </c>
      <c r="G69" s="433">
        <v>13524000000</v>
      </c>
      <c r="H69" s="433"/>
      <c r="I69" s="433">
        <v>3526169059</v>
      </c>
      <c r="J69" s="401">
        <f t="shared" si="18"/>
        <v>1807000000</v>
      </c>
      <c r="K69" s="412">
        <v>1807000000</v>
      </c>
      <c r="L69" s="412"/>
      <c r="M69" s="412"/>
      <c r="N69" s="408"/>
      <c r="O69" s="414"/>
      <c r="P69" s="414"/>
      <c r="Q69" s="359">
        <f>SUM(N69/C69)*100</f>
        <v>0</v>
      </c>
      <c r="R69" s="359">
        <f>(N69/E69)*100</f>
        <v>0</v>
      </c>
    </row>
    <row r="70" spans="1:18" ht="36" customHeight="1">
      <c r="A70" s="338" t="s">
        <v>20</v>
      </c>
      <c r="B70" s="352" t="s">
        <v>171</v>
      </c>
      <c r="C70" s="413"/>
      <c r="D70" s="413"/>
      <c r="E70" s="401">
        <f t="shared" si="17"/>
        <v>0</v>
      </c>
      <c r="F70" s="401">
        <f t="shared" si="19"/>
        <v>0</v>
      </c>
      <c r="G70" s="412"/>
      <c r="H70" s="412"/>
      <c r="I70" s="412"/>
      <c r="J70" s="401">
        <f t="shared" si="18"/>
        <v>0</v>
      </c>
      <c r="K70" s="412"/>
      <c r="L70" s="412"/>
      <c r="M70" s="412"/>
      <c r="N70" s="411">
        <f>SUM(N71:N72)</f>
        <v>222190779398</v>
      </c>
      <c r="O70" s="411">
        <f>SUM(O71:O72)</f>
        <v>222190779398</v>
      </c>
      <c r="P70" s="411">
        <f>SUM(P71:P72)</f>
        <v>0</v>
      </c>
      <c r="Q70" s="359"/>
      <c r="R70" s="359"/>
    </row>
    <row r="71" spans="1:18" ht="22.5" customHeight="1">
      <c r="A71" s="350">
        <v>1</v>
      </c>
      <c r="B71" s="369" t="s">
        <v>39</v>
      </c>
      <c r="C71" s="434"/>
      <c r="D71" s="434"/>
      <c r="E71" s="401">
        <f t="shared" si="17"/>
        <v>0</v>
      </c>
      <c r="F71" s="401">
        <f t="shared" si="19"/>
        <v>0</v>
      </c>
      <c r="G71" s="404"/>
      <c r="H71" s="404"/>
      <c r="I71" s="404"/>
      <c r="J71" s="401">
        <f t="shared" si="18"/>
        <v>0</v>
      </c>
      <c r="K71" s="404"/>
      <c r="L71" s="404"/>
      <c r="M71" s="404"/>
      <c r="N71" s="405">
        <f>O71+P71</f>
        <v>78796000000</v>
      </c>
      <c r="O71" s="406">
        <f>'[9]60'!E22</f>
        <v>78796000000</v>
      </c>
      <c r="P71" s="406"/>
      <c r="Q71" s="359"/>
      <c r="R71" s="359"/>
    </row>
    <row r="72" spans="1:18" ht="22.5" customHeight="1">
      <c r="A72" s="350">
        <v>2</v>
      </c>
      <c r="B72" s="369" t="s">
        <v>40</v>
      </c>
      <c r="C72" s="434"/>
      <c r="D72" s="434"/>
      <c r="E72" s="401">
        <f t="shared" si="17"/>
        <v>0</v>
      </c>
      <c r="F72" s="401">
        <f t="shared" si="19"/>
        <v>0</v>
      </c>
      <c r="G72" s="404"/>
      <c r="H72" s="404"/>
      <c r="I72" s="404"/>
      <c r="J72" s="401">
        <f t="shared" si="18"/>
        <v>0</v>
      </c>
      <c r="K72" s="404"/>
      <c r="L72" s="404"/>
      <c r="M72" s="404"/>
      <c r="N72" s="405">
        <f>O72+P72</f>
        <v>143394779398</v>
      </c>
      <c r="O72" s="406">
        <f>O73</f>
        <v>143394779398</v>
      </c>
      <c r="P72" s="406"/>
      <c r="Q72" s="359"/>
      <c r="R72" s="359"/>
    </row>
    <row r="73" spans="1:18" s="334" customFormat="1" ht="28.5" customHeight="1">
      <c r="A73" s="361"/>
      <c r="B73" s="370" t="s">
        <v>338</v>
      </c>
      <c r="C73" s="423"/>
      <c r="D73" s="423"/>
      <c r="E73" s="401">
        <f t="shared" si="17"/>
        <v>0</v>
      </c>
      <c r="F73" s="401">
        <f t="shared" si="19"/>
        <v>0</v>
      </c>
      <c r="G73" s="420"/>
      <c r="H73" s="420"/>
      <c r="I73" s="420"/>
      <c r="J73" s="401">
        <f t="shared" si="18"/>
        <v>0</v>
      </c>
      <c r="K73" s="420"/>
      <c r="L73" s="420"/>
      <c r="M73" s="420"/>
      <c r="N73" s="408">
        <f>O73+P73</f>
        <v>143394779398</v>
      </c>
      <c r="O73" s="418">
        <f>'[9]60'!E23</f>
        <v>143394779398</v>
      </c>
      <c r="P73" s="418"/>
      <c r="Q73" s="363"/>
      <c r="R73" s="363"/>
    </row>
    <row r="74" spans="1:18" s="334" customFormat="1" ht="22.5" customHeight="1">
      <c r="A74" s="361"/>
      <c r="B74" s="370" t="s">
        <v>339</v>
      </c>
      <c r="C74" s="423"/>
      <c r="D74" s="423"/>
      <c r="E74" s="401">
        <f t="shared" si="17"/>
        <v>0</v>
      </c>
      <c r="F74" s="401">
        <f t="shared" si="19"/>
        <v>0</v>
      </c>
      <c r="G74" s="420"/>
      <c r="H74" s="420"/>
      <c r="I74" s="420"/>
      <c r="J74" s="401">
        <f t="shared" si="18"/>
        <v>0</v>
      </c>
      <c r="K74" s="420"/>
      <c r="L74" s="420"/>
      <c r="M74" s="420"/>
      <c r="N74" s="408">
        <f>O74</f>
        <v>0</v>
      </c>
      <c r="O74" s="418">
        <v>0</v>
      </c>
      <c r="P74" s="418"/>
      <c r="Q74" s="363"/>
      <c r="R74" s="363"/>
    </row>
    <row r="75" spans="1:18" ht="22.5" customHeight="1">
      <c r="A75" s="350">
        <v>3</v>
      </c>
      <c r="B75" s="357" t="s">
        <v>184</v>
      </c>
      <c r="C75" s="434"/>
      <c r="D75" s="434"/>
      <c r="E75" s="401">
        <f t="shared" si="17"/>
        <v>0</v>
      </c>
      <c r="F75" s="401">
        <f t="shared" si="19"/>
        <v>0</v>
      </c>
      <c r="G75" s="404"/>
      <c r="H75" s="404"/>
      <c r="I75" s="404"/>
      <c r="J75" s="401">
        <f t="shared" si="18"/>
        <v>0</v>
      </c>
      <c r="K75" s="404"/>
      <c r="L75" s="404"/>
      <c r="M75" s="404"/>
      <c r="N75" s="405"/>
      <c r="O75" s="406"/>
      <c r="P75" s="406"/>
      <c r="Q75" s="359"/>
      <c r="R75" s="359"/>
    </row>
    <row r="76" spans="1:18" ht="38.25" customHeight="1">
      <c r="A76" s="338" t="s">
        <v>22</v>
      </c>
      <c r="B76" s="352" t="s">
        <v>172</v>
      </c>
      <c r="C76" s="401">
        <f aca="true" t="shared" si="21" ref="C76:M76">SUM(C77:C79)</f>
        <v>0</v>
      </c>
      <c r="D76" s="401">
        <f t="shared" si="21"/>
        <v>0</v>
      </c>
      <c r="E76" s="401">
        <f t="shared" si="21"/>
        <v>7622000000</v>
      </c>
      <c r="F76" s="401">
        <f t="shared" si="21"/>
        <v>7622000000</v>
      </c>
      <c r="G76" s="402">
        <f t="shared" si="21"/>
        <v>0</v>
      </c>
      <c r="H76" s="402">
        <f t="shared" si="21"/>
        <v>7622000000</v>
      </c>
      <c r="I76" s="402">
        <f t="shared" si="21"/>
        <v>0</v>
      </c>
      <c r="J76" s="401">
        <f t="shared" si="21"/>
        <v>0</v>
      </c>
      <c r="K76" s="402">
        <f t="shared" si="21"/>
        <v>0</v>
      </c>
      <c r="L76" s="402">
        <f t="shared" si="21"/>
        <v>0</v>
      </c>
      <c r="M76" s="402">
        <f t="shared" si="21"/>
        <v>0</v>
      </c>
      <c r="N76" s="401">
        <f>SUM(N77:N80)</f>
        <v>9328866497</v>
      </c>
      <c r="O76" s="401">
        <f>SUM(O77:O80)</f>
        <v>9328866497</v>
      </c>
      <c r="P76" s="401">
        <f>SUM(P77:P80)</f>
        <v>0</v>
      </c>
      <c r="Q76" s="359">
        <v>0</v>
      </c>
      <c r="R76" s="359"/>
    </row>
    <row r="77" spans="1:18" ht="22.5" customHeight="1">
      <c r="A77" s="371">
        <v>1</v>
      </c>
      <c r="B77" s="372" t="s">
        <v>598</v>
      </c>
      <c r="C77" s="401"/>
      <c r="D77" s="401"/>
      <c r="E77" s="403">
        <f aca="true" t="shared" si="22" ref="E77:E83">F77+J77</f>
        <v>6859000000</v>
      </c>
      <c r="F77" s="403">
        <f>SUM(G77:I77)</f>
        <v>6859000000</v>
      </c>
      <c r="G77" s="404"/>
      <c r="H77" s="404">
        <v>6859000000</v>
      </c>
      <c r="I77" s="412"/>
      <c r="J77" s="401">
        <f aca="true" t="shared" si="23" ref="J77:J83">SUM(K77:M77)</f>
        <v>0</v>
      </c>
      <c r="K77" s="412"/>
      <c r="L77" s="412"/>
      <c r="M77" s="412"/>
      <c r="N77" s="405">
        <f>O77+P77</f>
        <v>8565451740</v>
      </c>
      <c r="O77" s="406">
        <v>8565451740</v>
      </c>
      <c r="P77" s="406"/>
      <c r="Q77" s="359"/>
      <c r="R77" s="359"/>
    </row>
    <row r="78" spans="1:18" ht="37.5" customHeight="1">
      <c r="A78" s="373">
        <v>2</v>
      </c>
      <c r="B78" s="372" t="s">
        <v>552</v>
      </c>
      <c r="C78" s="401"/>
      <c r="D78" s="401"/>
      <c r="E78" s="403">
        <f t="shared" si="22"/>
        <v>763000000</v>
      </c>
      <c r="F78" s="403">
        <f>SUM(G78:I78)</f>
        <v>763000000</v>
      </c>
      <c r="G78" s="404"/>
      <c r="H78" s="404">
        <v>763000000</v>
      </c>
      <c r="I78" s="404"/>
      <c r="J78" s="401">
        <f t="shared" si="23"/>
        <v>0</v>
      </c>
      <c r="K78" s="412"/>
      <c r="L78" s="412"/>
      <c r="M78" s="412"/>
      <c r="N78" s="405">
        <f>O78+P78</f>
        <v>763414757</v>
      </c>
      <c r="O78" s="434">
        <v>763414757</v>
      </c>
      <c r="P78" s="406"/>
      <c r="Q78" s="359"/>
      <c r="R78" s="359"/>
    </row>
    <row r="79" spans="1:18" ht="39" customHeight="1" hidden="1">
      <c r="A79" s="373">
        <v>3</v>
      </c>
      <c r="B79" s="372" t="s">
        <v>340</v>
      </c>
      <c r="C79" s="401"/>
      <c r="D79" s="401"/>
      <c r="E79" s="403">
        <f t="shared" si="22"/>
        <v>0</v>
      </c>
      <c r="F79" s="403"/>
      <c r="G79" s="404"/>
      <c r="H79" s="404"/>
      <c r="I79" s="404"/>
      <c r="J79" s="401">
        <f t="shared" si="23"/>
        <v>0</v>
      </c>
      <c r="K79" s="412"/>
      <c r="L79" s="412"/>
      <c r="M79" s="412"/>
      <c r="N79" s="405">
        <f>O79+P79</f>
        <v>0</v>
      </c>
      <c r="O79" s="406"/>
      <c r="P79" s="406"/>
      <c r="Q79" s="359"/>
      <c r="R79" s="359"/>
    </row>
    <row r="80" spans="1:18" ht="35.25" customHeight="1" hidden="1">
      <c r="A80" s="374">
        <v>4</v>
      </c>
      <c r="B80" s="372" t="s">
        <v>341</v>
      </c>
      <c r="C80" s="435"/>
      <c r="D80" s="435"/>
      <c r="E80" s="403">
        <f t="shared" si="22"/>
        <v>0</v>
      </c>
      <c r="F80" s="401">
        <f>SUM(G80:I80)</f>
        <v>0</v>
      </c>
      <c r="G80" s="436"/>
      <c r="H80" s="436"/>
      <c r="I80" s="436"/>
      <c r="J80" s="401">
        <f t="shared" si="23"/>
        <v>0</v>
      </c>
      <c r="K80" s="436"/>
      <c r="L80" s="436"/>
      <c r="M80" s="436"/>
      <c r="N80" s="405">
        <f>O80+P80</f>
        <v>0</v>
      </c>
      <c r="O80" s="403"/>
      <c r="P80" s="437"/>
      <c r="Q80" s="359"/>
      <c r="R80" s="359"/>
    </row>
    <row r="81" spans="1:18" ht="36.75" customHeight="1">
      <c r="A81" s="338" t="s">
        <v>111</v>
      </c>
      <c r="B81" s="352" t="s">
        <v>342</v>
      </c>
      <c r="C81" s="413">
        <f>SUM(C86:C86)</f>
        <v>0</v>
      </c>
      <c r="D81" s="413">
        <v>0</v>
      </c>
      <c r="E81" s="401">
        <f t="shared" si="22"/>
        <v>5654000000</v>
      </c>
      <c r="F81" s="401">
        <f>F82+F84</f>
        <v>0</v>
      </c>
      <c r="G81" s="402">
        <f>G82+G84</f>
        <v>0</v>
      </c>
      <c r="H81" s="402">
        <f>H82+H84</f>
        <v>0</v>
      </c>
      <c r="I81" s="402">
        <f>I82+I84</f>
        <v>0</v>
      </c>
      <c r="J81" s="401">
        <f t="shared" si="23"/>
        <v>5654000000</v>
      </c>
      <c r="K81" s="402">
        <f aca="true" t="shared" si="24" ref="K81:Q81">K82+K84</f>
        <v>5654000000</v>
      </c>
      <c r="L81" s="402">
        <f t="shared" si="24"/>
        <v>0</v>
      </c>
      <c r="M81" s="402">
        <f t="shared" si="24"/>
        <v>0</v>
      </c>
      <c r="N81" s="401">
        <f t="shared" si="24"/>
        <v>0</v>
      </c>
      <c r="O81" s="401">
        <f t="shared" si="24"/>
        <v>0</v>
      </c>
      <c r="P81" s="401">
        <f t="shared" si="24"/>
        <v>0</v>
      </c>
      <c r="Q81" s="353">
        <f t="shared" si="24"/>
        <v>0</v>
      </c>
      <c r="R81" s="359">
        <f>(N81/E81)*100</f>
        <v>0</v>
      </c>
    </row>
    <row r="82" spans="1:18" ht="22.5" customHeight="1">
      <c r="A82" s="338" t="s">
        <v>10</v>
      </c>
      <c r="B82" s="352" t="s">
        <v>169</v>
      </c>
      <c r="C82" s="413"/>
      <c r="D82" s="413"/>
      <c r="E82" s="401">
        <f t="shared" si="22"/>
        <v>5654000000</v>
      </c>
      <c r="F82" s="401">
        <f>F83</f>
        <v>0</v>
      </c>
      <c r="G82" s="402">
        <f>G83</f>
        <v>0</v>
      </c>
      <c r="H82" s="402">
        <f>H83</f>
        <v>0</v>
      </c>
      <c r="I82" s="402">
        <f>I83</f>
        <v>0</v>
      </c>
      <c r="J82" s="401">
        <f t="shared" si="23"/>
        <v>5654000000</v>
      </c>
      <c r="K82" s="402">
        <v>5654000000</v>
      </c>
      <c r="L82" s="402">
        <f>L83</f>
        <v>0</v>
      </c>
      <c r="M82" s="402">
        <f>M83</f>
        <v>0</v>
      </c>
      <c r="N82" s="401">
        <f>N83</f>
        <v>0</v>
      </c>
      <c r="O82" s="401">
        <f>O83</f>
        <v>0</v>
      </c>
      <c r="P82" s="401">
        <f>P83</f>
        <v>0</v>
      </c>
      <c r="Q82" s="359"/>
      <c r="R82" s="359"/>
    </row>
    <row r="83" spans="1:18" ht="22.5" customHeight="1">
      <c r="A83" s="350">
        <v>1</v>
      </c>
      <c r="B83" s="372" t="s">
        <v>334</v>
      </c>
      <c r="C83" s="403"/>
      <c r="D83" s="403"/>
      <c r="E83" s="403">
        <f t="shared" si="22"/>
        <v>0</v>
      </c>
      <c r="F83" s="403"/>
      <c r="G83" s="407"/>
      <c r="H83" s="407"/>
      <c r="I83" s="407"/>
      <c r="J83" s="401">
        <f t="shared" si="23"/>
        <v>0</v>
      </c>
      <c r="K83" s="407"/>
      <c r="L83" s="407"/>
      <c r="M83" s="407"/>
      <c r="N83" s="403">
        <f>O83+P83</f>
        <v>0</v>
      </c>
      <c r="O83" s="403"/>
      <c r="P83" s="403">
        <v>0</v>
      </c>
      <c r="Q83" s="359"/>
      <c r="R83" s="359"/>
    </row>
    <row r="84" spans="1:18" ht="22.5" customHeight="1">
      <c r="A84" s="338" t="s">
        <v>14</v>
      </c>
      <c r="B84" s="352" t="s">
        <v>15</v>
      </c>
      <c r="C84" s="413"/>
      <c r="D84" s="413"/>
      <c r="E84" s="401">
        <f>E85</f>
        <v>0</v>
      </c>
      <c r="F84" s="401">
        <f aca="true" t="shared" si="25" ref="F84:P84">F85</f>
        <v>0</v>
      </c>
      <c r="G84" s="402">
        <f t="shared" si="25"/>
        <v>0</v>
      </c>
      <c r="H84" s="402">
        <f t="shared" si="25"/>
        <v>0</v>
      </c>
      <c r="I84" s="402">
        <f t="shared" si="25"/>
        <v>0</v>
      </c>
      <c r="J84" s="401">
        <f t="shared" si="25"/>
        <v>0</v>
      </c>
      <c r="K84" s="402">
        <f t="shared" si="25"/>
        <v>0</v>
      </c>
      <c r="L84" s="402">
        <f t="shared" si="25"/>
        <v>0</v>
      </c>
      <c r="M84" s="402">
        <f t="shared" si="25"/>
        <v>0</v>
      </c>
      <c r="N84" s="401">
        <f t="shared" si="25"/>
        <v>0</v>
      </c>
      <c r="O84" s="401">
        <f t="shared" si="25"/>
        <v>0</v>
      </c>
      <c r="P84" s="401">
        <f t="shared" si="25"/>
        <v>0</v>
      </c>
      <c r="Q84" s="359"/>
      <c r="R84" s="359"/>
    </row>
    <row r="85" spans="1:18" ht="22.5" customHeight="1">
      <c r="A85" s="375">
        <v>1</v>
      </c>
      <c r="B85" s="369" t="s">
        <v>252</v>
      </c>
      <c r="C85" s="413"/>
      <c r="D85" s="413"/>
      <c r="E85" s="401">
        <f>F85+J85</f>
        <v>0</v>
      </c>
      <c r="F85" s="401">
        <f>SUM(G85:I85)</f>
        <v>0</v>
      </c>
      <c r="G85" s="407">
        <f>G86</f>
        <v>0</v>
      </c>
      <c r="H85" s="407"/>
      <c r="I85" s="407"/>
      <c r="J85" s="401">
        <f>SUM(K85:M85)</f>
        <v>0</v>
      </c>
      <c r="K85" s="402"/>
      <c r="L85" s="402"/>
      <c r="M85" s="402"/>
      <c r="N85" s="405">
        <f>N86+N87</f>
        <v>0</v>
      </c>
      <c r="O85" s="405">
        <f>O86+O87</f>
        <v>0</v>
      </c>
      <c r="P85" s="405">
        <f>P86+P87</f>
        <v>0</v>
      </c>
      <c r="Q85" s="359"/>
      <c r="R85" s="359"/>
    </row>
    <row r="86" spans="1:18" s="334" customFormat="1" ht="22.5" customHeight="1">
      <c r="A86" s="376"/>
      <c r="B86" s="377" t="s">
        <v>553</v>
      </c>
      <c r="C86" s="438"/>
      <c r="D86" s="438"/>
      <c r="E86" s="403">
        <f>F86+J86</f>
        <v>0</v>
      </c>
      <c r="F86" s="403">
        <f>SUM(G86:I86)</f>
        <v>0</v>
      </c>
      <c r="G86" s="420"/>
      <c r="H86" s="420"/>
      <c r="I86" s="420"/>
      <c r="J86" s="401">
        <f>SUM(K86:M86)</f>
        <v>0</v>
      </c>
      <c r="K86" s="421"/>
      <c r="L86" s="421"/>
      <c r="M86" s="421"/>
      <c r="N86" s="405">
        <f>P86+O86</f>
        <v>0</v>
      </c>
      <c r="O86" s="406">
        <v>0</v>
      </c>
      <c r="P86" s="422"/>
      <c r="Q86" s="363"/>
      <c r="R86" s="363" t="e">
        <f>(N86/E86)*100</f>
        <v>#DIV/0!</v>
      </c>
    </row>
    <row r="87" spans="1:18" ht="22.5" customHeight="1">
      <c r="A87" s="371"/>
      <c r="B87" s="377" t="s">
        <v>343</v>
      </c>
      <c r="C87" s="413"/>
      <c r="D87" s="413"/>
      <c r="E87" s="401"/>
      <c r="F87" s="401"/>
      <c r="G87" s="412"/>
      <c r="H87" s="412"/>
      <c r="I87" s="412"/>
      <c r="J87" s="401"/>
      <c r="K87" s="412"/>
      <c r="L87" s="412"/>
      <c r="M87" s="412"/>
      <c r="N87" s="405"/>
      <c r="O87" s="414"/>
      <c r="P87" s="403"/>
      <c r="Q87" s="359"/>
      <c r="R87" s="359"/>
    </row>
  </sheetData>
  <sheetProtection/>
  <mergeCells count="19">
    <mergeCell ref="A5:R5"/>
    <mergeCell ref="P6:R6"/>
    <mergeCell ref="R8:R9"/>
    <mergeCell ref="D8:D9"/>
    <mergeCell ref="E8:E9"/>
    <mergeCell ref="F8:K8"/>
    <mergeCell ref="N8:N9"/>
    <mergeCell ref="O8:P8"/>
    <mergeCell ref="Q8:Q9"/>
    <mergeCell ref="A1:B1"/>
    <mergeCell ref="A2:B2"/>
    <mergeCell ref="A3:R3"/>
    <mergeCell ref="A7:A9"/>
    <mergeCell ref="B7:B9"/>
    <mergeCell ref="C7:K7"/>
    <mergeCell ref="N7:P7"/>
    <mergeCell ref="Q7:R7"/>
    <mergeCell ref="C8:C9"/>
    <mergeCell ref="A4:R4"/>
  </mergeCells>
  <printOptions/>
  <pageMargins left="0.3937007874015748" right="0.3937007874015748" top="0.5905511811023623" bottom="0.5905511811023623" header="0.31496062992125984" footer="0.31496062992125984"/>
  <pageSetup horizontalDpi="600" verticalDpi="600" orientation="landscape" paperSize="9" scale="85" r:id="rId1"/>
  <headerFooter>
    <oddHeader>&amp;CPage &amp;P</oddHeader>
  </headerFooter>
</worksheet>
</file>

<file path=xl/worksheets/sheet2.xml><?xml version="1.0" encoding="utf-8"?>
<worksheet xmlns="http://schemas.openxmlformats.org/spreadsheetml/2006/main" xmlns:r="http://schemas.openxmlformats.org/officeDocument/2006/relationships">
  <sheetPr>
    <tabColor rgb="FF00B0F0"/>
  </sheetPr>
  <dimension ref="A1:K82"/>
  <sheetViews>
    <sheetView zoomScale="145" zoomScaleNormal="145" zoomScalePageLayoutView="0" workbookViewId="0" topLeftCell="A1">
      <selection activeCell="A6" sqref="A6:I6"/>
    </sheetView>
  </sheetViews>
  <sheetFormatPr defaultColWidth="10.8515625" defaultRowHeight="12.75"/>
  <cols>
    <col min="1" max="1" width="4.421875" style="85" customWidth="1"/>
    <col min="2" max="2" width="35.7109375" style="85" customWidth="1"/>
    <col min="3" max="3" width="9.421875" style="85" hidden="1" customWidth="1"/>
    <col min="4" max="4" width="9.140625" style="85" customWidth="1"/>
    <col min="5" max="5" width="9.57421875" style="85" customWidth="1"/>
    <col min="6" max="6" width="9.00390625" style="85" customWidth="1"/>
    <col min="7" max="7" width="9.140625" style="85" customWidth="1"/>
    <col min="8" max="9" width="8.28125" style="85" customWidth="1"/>
    <col min="10" max="10" width="16.28125" style="85" customWidth="1"/>
    <col min="11" max="11" width="15.28125" style="85" bestFit="1" customWidth="1"/>
    <col min="12" max="16384" width="10.8515625" style="85" customWidth="1"/>
  </cols>
  <sheetData>
    <row r="1" spans="1:10" ht="18" customHeight="1">
      <c r="A1" s="84" t="s">
        <v>517</v>
      </c>
      <c r="G1" s="443" t="s">
        <v>75</v>
      </c>
      <c r="H1" s="443"/>
      <c r="I1" s="443"/>
      <c r="J1" s="111"/>
    </row>
    <row r="2" ht="17.25" customHeight="1">
      <c r="A2" s="84" t="s">
        <v>489</v>
      </c>
    </row>
    <row r="3" ht="18.75">
      <c r="A3" s="86"/>
    </row>
    <row r="4" spans="1:9" ht="18.75">
      <c r="A4" s="444" t="s">
        <v>556</v>
      </c>
      <c r="B4" s="444"/>
      <c r="C4" s="444"/>
      <c r="D4" s="444"/>
      <c r="E4" s="444"/>
      <c r="F4" s="444"/>
      <c r="G4" s="444"/>
      <c r="H4" s="444"/>
      <c r="I4" s="444"/>
    </row>
    <row r="5" spans="1:9" ht="18.75">
      <c r="A5" s="441" t="s">
        <v>36</v>
      </c>
      <c r="B5" s="441"/>
      <c r="C5" s="441"/>
      <c r="D5" s="441"/>
      <c r="E5" s="441"/>
      <c r="F5" s="441"/>
      <c r="G5" s="441"/>
      <c r="H5" s="441"/>
      <c r="I5" s="441"/>
    </row>
    <row r="6" spans="1:9" ht="24" customHeight="1">
      <c r="A6" s="442" t="s">
        <v>605</v>
      </c>
      <c r="B6" s="442"/>
      <c r="C6" s="442"/>
      <c r="D6" s="442"/>
      <c r="E6" s="442"/>
      <c r="F6" s="442"/>
      <c r="G6" s="442"/>
      <c r="H6" s="442"/>
      <c r="I6" s="442"/>
    </row>
    <row r="7" spans="8:9" ht="13.5" customHeight="1">
      <c r="H7" s="87"/>
      <c r="I7" s="88" t="s">
        <v>554</v>
      </c>
    </row>
    <row r="8" spans="1:9" s="90" customFormat="1" ht="18" customHeight="1">
      <c r="A8" s="445" t="s">
        <v>0</v>
      </c>
      <c r="B8" s="445" t="s">
        <v>1</v>
      </c>
      <c r="C8" s="446" t="s">
        <v>557</v>
      </c>
      <c r="D8" s="445" t="s">
        <v>2</v>
      </c>
      <c r="E8" s="445"/>
      <c r="F8" s="445" t="s">
        <v>4</v>
      </c>
      <c r="G8" s="445"/>
      <c r="H8" s="445" t="s">
        <v>23</v>
      </c>
      <c r="I8" s="445"/>
    </row>
    <row r="9" spans="1:9" s="90" customFormat="1" ht="41.25" customHeight="1">
      <c r="A9" s="445"/>
      <c r="B9" s="445"/>
      <c r="C9" s="447"/>
      <c r="D9" s="89" t="s">
        <v>76</v>
      </c>
      <c r="E9" s="89" t="s">
        <v>558</v>
      </c>
      <c r="F9" s="89" t="s">
        <v>76</v>
      </c>
      <c r="G9" s="89" t="s">
        <v>558</v>
      </c>
      <c r="H9" s="89" t="s">
        <v>76</v>
      </c>
      <c r="I9" s="89" t="s">
        <v>558</v>
      </c>
    </row>
    <row r="10" spans="1:10" s="114" customFormat="1" ht="19.5" customHeight="1">
      <c r="A10" s="112" t="s">
        <v>9</v>
      </c>
      <c r="B10" s="112" t="s">
        <v>20</v>
      </c>
      <c r="C10" s="112"/>
      <c r="D10" s="112">
        <v>1</v>
      </c>
      <c r="E10" s="112">
        <v>2</v>
      </c>
      <c r="F10" s="112">
        <v>3</v>
      </c>
      <c r="G10" s="112">
        <v>4</v>
      </c>
      <c r="H10" s="112" t="s">
        <v>77</v>
      </c>
      <c r="I10" s="112" t="s">
        <v>78</v>
      </c>
      <c r="J10" s="113"/>
    </row>
    <row r="11" spans="1:11" s="90" customFormat="1" ht="15.75" customHeight="1">
      <c r="A11" s="91"/>
      <c r="B11" s="92" t="s">
        <v>190</v>
      </c>
      <c r="C11" s="92"/>
      <c r="D11" s="173">
        <f>D12+D65+D66+D67</f>
        <v>414974000000</v>
      </c>
      <c r="E11" s="173">
        <f>E12+E65+E66+E67</f>
        <v>243323000000</v>
      </c>
      <c r="F11" s="173">
        <f>F12+F65+F66+F67</f>
        <v>695359388021</v>
      </c>
      <c r="G11" s="173">
        <f>G12+G65+G66+G67</f>
        <v>512642325703</v>
      </c>
      <c r="H11" s="93">
        <f>(F11/D11)*100</f>
        <v>167.56697721327117</v>
      </c>
      <c r="I11" s="93">
        <f>G11/E11*100</f>
        <v>210.68387522059155</v>
      </c>
      <c r="J11" s="94"/>
      <c r="K11" s="94"/>
    </row>
    <row r="12" spans="1:11" s="90" customFormat="1" ht="17.25" customHeight="1">
      <c r="A12" s="89" t="s">
        <v>9</v>
      </c>
      <c r="B12" s="92" t="s">
        <v>79</v>
      </c>
      <c r="C12" s="92"/>
      <c r="D12" s="173">
        <f>D13+D55+D56+D63+D64</f>
        <v>414974000000</v>
      </c>
      <c r="E12" s="173">
        <f>E13+E55+E56+E63+E64</f>
        <v>243323000000</v>
      </c>
      <c r="F12" s="173">
        <f>F13+F55+F56+F63+F64</f>
        <v>430356188320</v>
      </c>
      <c r="G12" s="173">
        <f>G13+G55+G56+G63+G64</f>
        <v>247639126002</v>
      </c>
      <c r="H12" s="93">
        <f>(F12/D12)*100</f>
        <v>103.70678363463735</v>
      </c>
      <c r="I12" s="93">
        <f>G12/E12*100</f>
        <v>101.77382573862725</v>
      </c>
      <c r="J12" s="94"/>
      <c r="K12" s="94"/>
    </row>
    <row r="13" spans="1:11" s="90" customFormat="1" ht="21" customHeight="1">
      <c r="A13" s="89" t="s">
        <v>10</v>
      </c>
      <c r="B13" s="92" t="s">
        <v>80</v>
      </c>
      <c r="C13" s="92"/>
      <c r="D13" s="173">
        <f>D27+D32+D33+D36+D37+D42+D43+D44+D45+D46+D47+D48+D49+D50+D51+D52+D53+D54</f>
        <v>380180000000</v>
      </c>
      <c r="E13" s="173">
        <f>E27+E32+E33+E36+E37+E42+E43+E44+E45+E46+E47+E48+E49+E50+E51+E52+E53+E54+E23+E18+E14</f>
        <v>208529000000</v>
      </c>
      <c r="F13" s="173">
        <f>F27+F32+F33+F36+F37+F42+F43+F44+F45+F46+F47+F48+F49+F50+F51+F52+F53+F54+F23+F18+F14</f>
        <v>427449724111</v>
      </c>
      <c r="G13" s="173">
        <f>G27+G32+G33+G36+G37+G42+G43+G44+G45+G46+G47+G48+G49+G50+G51+G52+G53+G54+G23+G18+G14</f>
        <v>244732661793</v>
      </c>
      <c r="H13" s="93">
        <f>(F13/D13)*100</f>
        <v>112.43351152375192</v>
      </c>
      <c r="I13" s="93">
        <f>G13/E13*100</f>
        <v>117.3614517851234</v>
      </c>
      <c r="J13" s="95"/>
      <c r="K13" s="95"/>
    </row>
    <row r="14" spans="1:11" s="90" customFormat="1" ht="30" customHeight="1">
      <c r="A14" s="91">
        <v>1</v>
      </c>
      <c r="B14" s="96" t="s">
        <v>81</v>
      </c>
      <c r="C14" s="96"/>
      <c r="D14" s="174"/>
      <c r="E14" s="174"/>
      <c r="F14" s="175">
        <f>F15+F17</f>
        <v>454433343</v>
      </c>
      <c r="G14" s="174"/>
      <c r="H14" s="93"/>
      <c r="I14" s="93"/>
      <c r="K14" s="94"/>
    </row>
    <row r="15" spans="1:11" s="90" customFormat="1" ht="24" hidden="1">
      <c r="A15" s="91"/>
      <c r="B15" s="97" t="s">
        <v>299</v>
      </c>
      <c r="C15" s="97"/>
      <c r="D15" s="176"/>
      <c r="E15" s="176"/>
      <c r="F15" s="176">
        <v>451082468</v>
      </c>
      <c r="G15" s="174"/>
      <c r="H15" s="93"/>
      <c r="I15" s="93"/>
      <c r="K15" s="94"/>
    </row>
    <row r="16" spans="1:11" s="90" customFormat="1" ht="12.75" hidden="1">
      <c r="A16" s="91"/>
      <c r="B16" s="97" t="s">
        <v>300</v>
      </c>
      <c r="C16" s="97"/>
      <c r="D16" s="176"/>
      <c r="E16" s="176"/>
      <c r="F16" s="176">
        <v>0</v>
      </c>
      <c r="G16" s="174"/>
      <c r="H16" s="93"/>
      <c r="I16" s="93"/>
      <c r="K16" s="94"/>
    </row>
    <row r="17" spans="1:11" s="90" customFormat="1" ht="12.75" hidden="1">
      <c r="A17" s="91"/>
      <c r="B17" s="98" t="s">
        <v>302</v>
      </c>
      <c r="C17" s="98"/>
      <c r="D17" s="176"/>
      <c r="E17" s="176"/>
      <c r="F17" s="176">
        <v>3350875</v>
      </c>
      <c r="G17" s="174"/>
      <c r="H17" s="93"/>
      <c r="I17" s="93"/>
      <c r="K17" s="94"/>
    </row>
    <row r="18" spans="1:11" s="90" customFormat="1" ht="28.5" customHeight="1">
      <c r="A18" s="91">
        <v>2</v>
      </c>
      <c r="B18" s="96" t="s">
        <v>82</v>
      </c>
      <c r="C18" s="96"/>
      <c r="D18" s="174"/>
      <c r="E18" s="174"/>
      <c r="F18" s="175">
        <f>SUM(F19:F22)</f>
        <v>3703808406</v>
      </c>
      <c r="G18" s="174">
        <v>0</v>
      </c>
      <c r="H18" s="93"/>
      <c r="I18" s="93"/>
      <c r="J18" s="94"/>
      <c r="K18" s="94"/>
    </row>
    <row r="19" spans="1:11" s="90" customFormat="1" ht="24" hidden="1">
      <c r="A19" s="91"/>
      <c r="B19" s="97" t="s">
        <v>299</v>
      </c>
      <c r="C19" s="97"/>
      <c r="D19" s="176"/>
      <c r="E19" s="176"/>
      <c r="F19" s="176">
        <v>1236217171</v>
      </c>
      <c r="G19" s="174"/>
      <c r="H19" s="93"/>
      <c r="I19" s="93"/>
      <c r="J19" s="94"/>
      <c r="K19" s="94"/>
    </row>
    <row r="20" spans="1:11" s="90" customFormat="1" ht="12.75" hidden="1">
      <c r="A20" s="91"/>
      <c r="B20" s="97" t="s">
        <v>300</v>
      </c>
      <c r="C20" s="97"/>
      <c r="D20" s="176"/>
      <c r="E20" s="176"/>
      <c r="F20" s="176">
        <v>0</v>
      </c>
      <c r="G20" s="174"/>
      <c r="H20" s="93"/>
      <c r="I20" s="93"/>
      <c r="J20" s="94"/>
      <c r="K20" s="94"/>
    </row>
    <row r="21" spans="1:11" s="90" customFormat="1" ht="12.75" hidden="1">
      <c r="A21" s="91"/>
      <c r="B21" s="97" t="s">
        <v>302</v>
      </c>
      <c r="C21" s="97"/>
      <c r="D21" s="176"/>
      <c r="E21" s="176"/>
      <c r="F21" s="176">
        <v>2442722755</v>
      </c>
      <c r="G21" s="174"/>
      <c r="H21" s="93"/>
      <c r="I21" s="93"/>
      <c r="J21" s="94"/>
      <c r="K21" s="94"/>
    </row>
    <row r="22" spans="1:11" s="90" customFormat="1" ht="12.75" hidden="1">
      <c r="A22" s="91"/>
      <c r="B22" s="98" t="s">
        <v>301</v>
      </c>
      <c r="C22" s="98"/>
      <c r="D22" s="174"/>
      <c r="E22" s="174"/>
      <c r="F22" s="176">
        <v>24868480</v>
      </c>
      <c r="G22" s="174"/>
      <c r="H22" s="93"/>
      <c r="I22" s="93"/>
      <c r="J22" s="94"/>
      <c r="K22" s="94"/>
    </row>
    <row r="23" spans="1:10" s="90" customFormat="1" ht="30" customHeight="1">
      <c r="A23" s="91">
        <v>3</v>
      </c>
      <c r="B23" s="96" t="s">
        <v>83</v>
      </c>
      <c r="C23" s="96"/>
      <c r="D23" s="174"/>
      <c r="E23" s="174"/>
      <c r="F23" s="175">
        <f>F24+F26</f>
        <v>241497929</v>
      </c>
      <c r="G23" s="174"/>
      <c r="H23" s="93"/>
      <c r="I23" s="93"/>
      <c r="J23" s="94"/>
    </row>
    <row r="24" spans="1:10" s="90" customFormat="1" ht="24" hidden="1">
      <c r="A24" s="91"/>
      <c r="B24" s="97" t="s">
        <v>299</v>
      </c>
      <c r="C24" s="97"/>
      <c r="D24" s="176"/>
      <c r="E24" s="176"/>
      <c r="F24" s="176">
        <v>128644389</v>
      </c>
      <c r="G24" s="174"/>
      <c r="H24" s="93"/>
      <c r="I24" s="93"/>
      <c r="J24" s="94"/>
    </row>
    <row r="25" spans="1:10" s="90" customFormat="1" ht="12.75" hidden="1">
      <c r="A25" s="91"/>
      <c r="B25" s="97" t="s">
        <v>300</v>
      </c>
      <c r="C25" s="97"/>
      <c r="D25" s="176"/>
      <c r="E25" s="176"/>
      <c r="F25" s="176">
        <v>0</v>
      </c>
      <c r="G25" s="174"/>
      <c r="H25" s="93"/>
      <c r="I25" s="93"/>
      <c r="J25" s="94"/>
    </row>
    <row r="26" spans="1:10" s="90" customFormat="1" ht="12.75" hidden="1">
      <c r="A26" s="91"/>
      <c r="B26" s="97" t="s">
        <v>302</v>
      </c>
      <c r="C26" s="97"/>
      <c r="D26" s="176"/>
      <c r="E26" s="176"/>
      <c r="F26" s="176">
        <v>112853540</v>
      </c>
      <c r="G26" s="174"/>
      <c r="H26" s="93"/>
      <c r="I26" s="93"/>
      <c r="J26" s="94"/>
    </row>
    <row r="27" spans="1:9" s="90" customFormat="1" ht="25.5">
      <c r="A27" s="91">
        <v>4</v>
      </c>
      <c r="B27" s="96" t="s">
        <v>84</v>
      </c>
      <c r="C27" s="96"/>
      <c r="D27" s="175">
        <f>SUM(D28:D31)</f>
        <v>124000000000</v>
      </c>
      <c r="E27" s="175">
        <f>SUM(E28:E31)</f>
        <v>60824000000</v>
      </c>
      <c r="F27" s="175">
        <f>SUM(F28:F31)</f>
        <v>125581474621</v>
      </c>
      <c r="G27" s="175">
        <f>SUM(G28:G31)</f>
        <v>62891415456</v>
      </c>
      <c r="H27" s="99">
        <f>(F27/D27)*100</f>
        <v>101.27538275887096</v>
      </c>
      <c r="I27" s="99">
        <f>G27/E27*100</f>
        <v>103.39901265290017</v>
      </c>
    </row>
    <row r="28" spans="1:10" s="104" customFormat="1" ht="24" hidden="1">
      <c r="A28" s="100"/>
      <c r="B28" s="98" t="s">
        <v>299</v>
      </c>
      <c r="C28" s="101">
        <v>0.47</v>
      </c>
      <c r="D28" s="177">
        <v>98000000000</v>
      </c>
      <c r="E28" s="176">
        <f aca="true" t="shared" si="0" ref="E28:E33">D28*C28</f>
        <v>46060000000</v>
      </c>
      <c r="F28" s="176">
        <v>83392046602</v>
      </c>
      <c r="G28" s="176">
        <v>39194262948</v>
      </c>
      <c r="H28" s="102"/>
      <c r="I28" s="102"/>
      <c r="J28" s="103"/>
    </row>
    <row r="29" spans="1:9" s="104" customFormat="1" ht="12.75" hidden="1">
      <c r="A29" s="100"/>
      <c r="B29" s="98" t="s">
        <v>300</v>
      </c>
      <c r="C29" s="101">
        <v>0.47</v>
      </c>
      <c r="D29" s="177">
        <v>1200000000</v>
      </c>
      <c r="E29" s="176">
        <f t="shared" si="0"/>
        <v>564000000</v>
      </c>
      <c r="F29" s="176">
        <v>170804512</v>
      </c>
      <c r="G29" s="176">
        <v>80278134</v>
      </c>
      <c r="H29" s="102"/>
      <c r="I29" s="102"/>
    </row>
    <row r="30" spans="1:9" s="104" customFormat="1" ht="12.75" hidden="1">
      <c r="A30" s="100"/>
      <c r="B30" s="98" t="s">
        <v>302</v>
      </c>
      <c r="C30" s="101">
        <v>0.47</v>
      </c>
      <c r="D30" s="177">
        <v>20000000000</v>
      </c>
      <c r="E30" s="176">
        <f t="shared" si="0"/>
        <v>9400000000</v>
      </c>
      <c r="F30" s="176">
        <v>34720281954</v>
      </c>
      <c r="G30" s="176">
        <v>16318532821</v>
      </c>
      <c r="H30" s="102"/>
      <c r="I30" s="102"/>
    </row>
    <row r="31" spans="1:9" s="104" customFormat="1" ht="12.75" hidden="1">
      <c r="A31" s="100"/>
      <c r="B31" s="98" t="s">
        <v>301</v>
      </c>
      <c r="C31" s="101">
        <v>1</v>
      </c>
      <c r="D31" s="177">
        <v>4800000000</v>
      </c>
      <c r="E31" s="176">
        <f t="shared" si="0"/>
        <v>4800000000</v>
      </c>
      <c r="F31" s="176">
        <v>7298341553</v>
      </c>
      <c r="G31" s="176">
        <v>7298341553</v>
      </c>
      <c r="H31" s="102"/>
      <c r="I31" s="102"/>
    </row>
    <row r="32" spans="1:9" s="90" customFormat="1" ht="16.5" customHeight="1">
      <c r="A32" s="91">
        <v>5</v>
      </c>
      <c r="B32" s="96" t="s">
        <v>85</v>
      </c>
      <c r="C32" s="105">
        <v>0.47</v>
      </c>
      <c r="D32" s="174">
        <v>55500000000</v>
      </c>
      <c r="E32" s="174">
        <f t="shared" si="0"/>
        <v>26085000000</v>
      </c>
      <c r="F32" s="174">
        <v>59440846212</v>
      </c>
      <c r="G32" s="174">
        <v>27727234494</v>
      </c>
      <c r="H32" s="99">
        <f aca="true" t="shared" si="1" ref="H32:H37">(F32/D32)*100</f>
        <v>107.10062380540542</v>
      </c>
      <c r="I32" s="99">
        <f aca="true" t="shared" si="2" ref="I32:I37">G32/E32*100</f>
        <v>106.29570440483036</v>
      </c>
    </row>
    <row r="33" spans="1:9" s="90" customFormat="1" ht="15" customHeight="1">
      <c r="A33" s="91">
        <v>6</v>
      </c>
      <c r="B33" s="96" t="s">
        <v>86</v>
      </c>
      <c r="C33" s="105">
        <v>0.47</v>
      </c>
      <c r="D33" s="174">
        <f>'[2]61-THU'!$E$55</f>
        <v>2000000000</v>
      </c>
      <c r="E33" s="174">
        <f t="shared" si="0"/>
        <v>940000000</v>
      </c>
      <c r="F33" s="174">
        <v>3792904718</v>
      </c>
      <c r="G33" s="174">
        <v>678380896</v>
      </c>
      <c r="H33" s="99">
        <f t="shared" si="1"/>
        <v>189.6452359</v>
      </c>
      <c r="I33" s="99">
        <f t="shared" si="2"/>
        <v>72.16818042553192</v>
      </c>
    </row>
    <row r="34" spans="1:9" s="107" customFormat="1" ht="27" customHeight="1" hidden="1">
      <c r="A34" s="106"/>
      <c r="B34" s="98" t="s">
        <v>559</v>
      </c>
      <c r="C34" s="98"/>
      <c r="D34" s="174"/>
      <c r="E34" s="174"/>
      <c r="F34" s="174"/>
      <c r="G34" s="174"/>
      <c r="H34" s="99"/>
      <c r="I34" s="99"/>
    </row>
    <row r="35" spans="1:9" s="107" customFormat="1" ht="15.75" customHeight="1" hidden="1">
      <c r="A35" s="106"/>
      <c r="B35" s="98" t="s">
        <v>560</v>
      </c>
      <c r="C35" s="98"/>
      <c r="D35" s="174"/>
      <c r="E35" s="174"/>
      <c r="F35" s="174"/>
      <c r="G35" s="174"/>
      <c r="H35" s="93"/>
      <c r="I35" s="93"/>
    </row>
    <row r="36" spans="1:9" s="90" customFormat="1" ht="12.75">
      <c r="A36" s="91">
        <v>7</v>
      </c>
      <c r="B36" s="96" t="s">
        <v>87</v>
      </c>
      <c r="C36" s="101">
        <v>1</v>
      </c>
      <c r="D36" s="174">
        <v>39000000000</v>
      </c>
      <c r="E36" s="174">
        <f>C36*D36</f>
        <v>39000000000</v>
      </c>
      <c r="F36" s="174">
        <v>57588161224</v>
      </c>
      <c r="G36" s="174">
        <v>57588161224</v>
      </c>
      <c r="H36" s="99">
        <f t="shared" si="1"/>
        <v>147.66195185641027</v>
      </c>
      <c r="I36" s="99">
        <f t="shared" si="2"/>
        <v>147.66195185641027</v>
      </c>
    </row>
    <row r="37" spans="1:9" s="90" customFormat="1" ht="12.75">
      <c r="A37" s="91">
        <v>8</v>
      </c>
      <c r="B37" s="96" t="s">
        <v>88</v>
      </c>
      <c r="C37" s="101">
        <v>1</v>
      </c>
      <c r="D37" s="174">
        <v>16000000000</v>
      </c>
      <c r="E37" s="174">
        <v>8500000000</v>
      </c>
      <c r="F37" s="175">
        <f>SUM(F38:F41)</f>
        <v>17457404240</v>
      </c>
      <c r="G37" s="175">
        <f>SUM(G38:G41)</f>
        <v>8506735030</v>
      </c>
      <c r="H37" s="99">
        <f t="shared" si="1"/>
        <v>109.10877649999999</v>
      </c>
      <c r="I37" s="99">
        <f t="shared" si="2"/>
        <v>100.07923564705882</v>
      </c>
    </row>
    <row r="38" spans="1:9" s="110" customFormat="1" ht="12" hidden="1">
      <c r="A38" s="108"/>
      <c r="B38" s="98" t="s">
        <v>191</v>
      </c>
      <c r="C38" s="98"/>
      <c r="D38" s="176"/>
      <c r="E38" s="176"/>
      <c r="F38" s="176">
        <v>5180252850</v>
      </c>
      <c r="G38" s="176">
        <v>73500000</v>
      </c>
      <c r="H38" s="109"/>
      <c r="I38" s="109"/>
    </row>
    <row r="39" spans="1:9" s="110" customFormat="1" ht="12" hidden="1">
      <c r="A39" s="108"/>
      <c r="B39" s="98" t="s">
        <v>303</v>
      </c>
      <c r="C39" s="98"/>
      <c r="D39" s="176"/>
      <c r="E39" s="176"/>
      <c r="F39" s="176">
        <v>3718898766</v>
      </c>
      <c r="G39" s="176">
        <v>164000000</v>
      </c>
      <c r="H39" s="109"/>
      <c r="I39" s="109"/>
    </row>
    <row r="40" spans="1:9" s="110" customFormat="1" ht="12" hidden="1">
      <c r="A40" s="108"/>
      <c r="B40" s="98" t="s">
        <v>304</v>
      </c>
      <c r="C40" s="98"/>
      <c r="D40" s="176"/>
      <c r="E40" s="176"/>
      <c r="F40" s="176">
        <v>7592414624</v>
      </c>
      <c r="G40" s="176">
        <v>7303447030</v>
      </c>
      <c r="H40" s="109"/>
      <c r="I40" s="109"/>
    </row>
    <row r="41" spans="1:9" s="110" customFormat="1" ht="12" hidden="1">
      <c r="A41" s="108"/>
      <c r="B41" s="98" t="s">
        <v>192</v>
      </c>
      <c r="C41" s="98"/>
      <c r="D41" s="176"/>
      <c r="E41" s="176"/>
      <c r="F41" s="176">
        <v>965838000</v>
      </c>
      <c r="G41" s="176">
        <v>965788000</v>
      </c>
      <c r="H41" s="109"/>
      <c r="I41" s="109"/>
    </row>
    <row r="42" spans="1:9" s="90" customFormat="1" ht="12.75">
      <c r="A42" s="91">
        <v>9</v>
      </c>
      <c r="B42" s="96" t="s">
        <v>89</v>
      </c>
      <c r="C42" s="96"/>
      <c r="D42" s="174"/>
      <c r="E42" s="174"/>
      <c r="F42" s="174"/>
      <c r="G42" s="174"/>
      <c r="H42" s="93"/>
      <c r="I42" s="93"/>
    </row>
    <row r="43" spans="1:9" s="90" customFormat="1" ht="12.75">
      <c r="A43" s="91">
        <v>10</v>
      </c>
      <c r="B43" s="96" t="s">
        <v>90</v>
      </c>
      <c r="C43" s="101">
        <v>1</v>
      </c>
      <c r="D43" s="174">
        <f>'[2]61-THU'!$E$53</f>
        <v>2500000000</v>
      </c>
      <c r="E43" s="174">
        <f>C43*D43</f>
        <v>2500000000</v>
      </c>
      <c r="F43" s="174">
        <v>2269225692</v>
      </c>
      <c r="G43" s="174">
        <v>2269225692</v>
      </c>
      <c r="H43" s="99">
        <f>(F43/D43)*100</f>
        <v>90.76902768000001</v>
      </c>
      <c r="I43" s="99">
        <f>G43/E43*100</f>
        <v>90.76902768000001</v>
      </c>
    </row>
    <row r="44" spans="1:9" s="90" customFormat="1" ht="12.75">
      <c r="A44" s="91">
        <v>11</v>
      </c>
      <c r="B44" s="96" t="s">
        <v>91</v>
      </c>
      <c r="C44" s="101">
        <v>1</v>
      </c>
      <c r="D44" s="174">
        <f>'[2]61-THU'!$E$63</f>
        <v>150000000</v>
      </c>
      <c r="E44" s="174">
        <f>C44*D44</f>
        <v>150000000</v>
      </c>
      <c r="F44" s="174">
        <v>88227421</v>
      </c>
      <c r="G44" s="174">
        <v>58305703</v>
      </c>
      <c r="H44" s="99">
        <f>(F44/D44)*100</f>
        <v>58.818280666666666</v>
      </c>
      <c r="I44" s="99">
        <f>G44/E44*100</f>
        <v>38.87046866666667</v>
      </c>
    </row>
    <row r="45" spans="1:9" s="90" customFormat="1" ht="12.75">
      <c r="A45" s="91">
        <v>12</v>
      </c>
      <c r="B45" s="96" t="s">
        <v>92</v>
      </c>
      <c r="C45" s="105">
        <v>0.6</v>
      </c>
      <c r="D45" s="174">
        <v>110000000000</v>
      </c>
      <c r="E45" s="174">
        <f>C45*D45</f>
        <v>66000000000</v>
      </c>
      <c r="F45" s="174">
        <v>132980321724</v>
      </c>
      <c r="G45" s="174">
        <v>79788193042</v>
      </c>
      <c r="H45" s="99">
        <f>(F45/D45)*100</f>
        <v>120.89120156727273</v>
      </c>
      <c r="I45" s="99">
        <f>G45/E45*100</f>
        <v>120.89120157878787</v>
      </c>
    </row>
    <row r="46" spans="1:9" s="90" customFormat="1" ht="12.75" customHeight="1">
      <c r="A46" s="91">
        <v>13</v>
      </c>
      <c r="B46" s="96" t="s">
        <v>93</v>
      </c>
      <c r="C46" s="96"/>
      <c r="D46" s="174"/>
      <c r="E46" s="174"/>
      <c r="F46" s="174"/>
      <c r="G46" s="174"/>
      <c r="H46" s="93"/>
      <c r="I46" s="93"/>
    </row>
    <row r="47" spans="1:9" s="90" customFormat="1" ht="12.75">
      <c r="A47" s="91">
        <v>14</v>
      </c>
      <c r="B47" s="96" t="s">
        <v>561</v>
      </c>
      <c r="C47" s="96"/>
      <c r="D47" s="174"/>
      <c r="E47" s="174"/>
      <c r="F47" s="174"/>
      <c r="G47" s="174"/>
      <c r="H47" s="93"/>
      <c r="I47" s="93"/>
    </row>
    <row r="48" spans="1:9" s="90" customFormat="1" ht="12.75">
      <c r="A48" s="91">
        <v>15</v>
      </c>
      <c r="B48" s="96" t="s">
        <v>193</v>
      </c>
      <c r="C48" s="96"/>
      <c r="D48" s="174"/>
      <c r="E48" s="174"/>
      <c r="F48" s="174"/>
      <c r="G48" s="174"/>
      <c r="H48" s="93"/>
      <c r="I48" s="93"/>
    </row>
    <row r="49" spans="1:9" s="90" customFormat="1" ht="12.75">
      <c r="A49" s="91">
        <v>16</v>
      </c>
      <c r="B49" s="96" t="s">
        <v>94</v>
      </c>
      <c r="C49" s="96"/>
      <c r="D49" s="174"/>
      <c r="E49" s="174"/>
      <c r="F49" s="174"/>
      <c r="G49" s="174"/>
      <c r="H49" s="93"/>
      <c r="I49" s="93"/>
    </row>
    <row r="50" spans="1:9" s="90" customFormat="1" ht="12.75" customHeight="1">
      <c r="A50" s="91">
        <v>17</v>
      </c>
      <c r="B50" s="96" t="s">
        <v>95</v>
      </c>
      <c r="C50" s="96"/>
      <c r="D50" s="174">
        <v>31000000000</v>
      </c>
      <c r="E50" s="174">
        <v>4500000000</v>
      </c>
      <c r="F50" s="174">
        <v>23851418581</v>
      </c>
      <c r="G50" s="174">
        <f>2844874026+2380136230</f>
        <v>5225010256</v>
      </c>
      <c r="H50" s="99">
        <f>(F50/D50)*100</f>
        <v>76.94005993870968</v>
      </c>
      <c r="I50" s="99">
        <f>G50/E50*100</f>
        <v>116.11133902222221</v>
      </c>
    </row>
    <row r="51" spans="1:9" s="90" customFormat="1" ht="12.75" customHeight="1">
      <c r="A51" s="91">
        <v>18</v>
      </c>
      <c r="B51" s="96" t="s">
        <v>96</v>
      </c>
      <c r="C51" s="101">
        <v>1</v>
      </c>
      <c r="D51" s="174">
        <f>'[2]61-THU'!$E$74</f>
        <v>30000000</v>
      </c>
      <c r="E51" s="174">
        <f>'[3]61-lk'!E74</f>
        <v>30000000</v>
      </c>
      <c r="F51" s="174"/>
      <c r="G51" s="174"/>
      <c r="H51" s="99">
        <f>(F51/D51)*100</f>
        <v>0</v>
      </c>
      <c r="I51" s="99">
        <f>G51/E51*100</f>
        <v>0</v>
      </c>
    </row>
    <row r="52" spans="1:9" s="90" customFormat="1" ht="12.75" customHeight="1">
      <c r="A52" s="91">
        <v>19</v>
      </c>
      <c r="B52" s="96" t="s">
        <v>194</v>
      </c>
      <c r="C52" s="96"/>
      <c r="D52" s="174"/>
      <c r="E52" s="174"/>
      <c r="F52" s="174"/>
      <c r="G52" s="174"/>
      <c r="H52" s="93"/>
      <c r="I52" s="93"/>
    </row>
    <row r="53" spans="1:9" s="90" customFormat="1" ht="38.25">
      <c r="A53" s="91">
        <v>20</v>
      </c>
      <c r="B53" s="96" t="s">
        <v>195</v>
      </c>
      <c r="C53" s="96"/>
      <c r="D53" s="174"/>
      <c r="E53" s="174"/>
      <c r="F53" s="174"/>
      <c r="G53" s="174"/>
      <c r="H53" s="93"/>
      <c r="I53" s="93"/>
    </row>
    <row r="54" spans="1:9" s="90" customFormat="1" ht="17.25" customHeight="1">
      <c r="A54" s="91">
        <v>21</v>
      </c>
      <c r="B54" s="96" t="s">
        <v>196</v>
      </c>
      <c r="C54" s="96"/>
      <c r="D54" s="174"/>
      <c r="E54" s="174"/>
      <c r="F54" s="174"/>
      <c r="G54" s="174"/>
      <c r="H54" s="93"/>
      <c r="I54" s="93"/>
    </row>
    <row r="55" spans="1:9" s="90" customFormat="1" ht="15.75" customHeight="1">
      <c r="A55" s="89" t="s">
        <v>14</v>
      </c>
      <c r="B55" s="92" t="s">
        <v>197</v>
      </c>
      <c r="C55" s="92"/>
      <c r="D55" s="174"/>
      <c r="E55" s="174"/>
      <c r="F55" s="174"/>
      <c r="G55" s="174"/>
      <c r="H55" s="93"/>
      <c r="I55" s="93"/>
    </row>
    <row r="56" spans="1:9" s="90" customFormat="1" ht="15.75" customHeight="1">
      <c r="A56" s="89" t="s">
        <v>17</v>
      </c>
      <c r="B56" s="92" t="s">
        <v>198</v>
      </c>
      <c r="C56" s="92"/>
      <c r="D56" s="174"/>
      <c r="E56" s="174"/>
      <c r="F56" s="174"/>
      <c r="G56" s="174"/>
      <c r="H56" s="93"/>
      <c r="I56" s="93"/>
    </row>
    <row r="57" spans="1:9" s="90" customFormat="1" ht="15.75" customHeight="1">
      <c r="A57" s="91">
        <v>1</v>
      </c>
      <c r="B57" s="96" t="s">
        <v>199</v>
      </c>
      <c r="C57" s="96"/>
      <c r="D57" s="174"/>
      <c r="E57" s="174"/>
      <c r="F57" s="174"/>
      <c r="G57" s="174"/>
      <c r="H57" s="93"/>
      <c r="I57" s="93"/>
    </row>
    <row r="58" spans="1:9" s="90" customFormat="1" ht="15.75" customHeight="1">
      <c r="A58" s="91">
        <v>2</v>
      </c>
      <c r="B58" s="96" t="s">
        <v>200</v>
      </c>
      <c r="C58" s="96"/>
      <c r="D58" s="174"/>
      <c r="E58" s="174"/>
      <c r="F58" s="174"/>
      <c r="G58" s="174"/>
      <c r="H58" s="93"/>
      <c r="I58" s="93"/>
    </row>
    <row r="59" spans="1:9" s="90" customFormat="1" ht="25.5">
      <c r="A59" s="91">
        <v>3</v>
      </c>
      <c r="B59" s="96" t="s">
        <v>201</v>
      </c>
      <c r="C59" s="96"/>
      <c r="D59" s="174"/>
      <c r="E59" s="174"/>
      <c r="F59" s="174"/>
      <c r="G59" s="174"/>
      <c r="H59" s="93"/>
      <c r="I59" s="93"/>
    </row>
    <row r="60" spans="1:9" s="90" customFormat="1" ht="25.5">
      <c r="A60" s="91">
        <v>4</v>
      </c>
      <c r="B60" s="96" t="s">
        <v>202</v>
      </c>
      <c r="C60" s="96"/>
      <c r="D60" s="174"/>
      <c r="E60" s="174"/>
      <c r="F60" s="174"/>
      <c r="G60" s="174"/>
      <c r="H60" s="93"/>
      <c r="I60" s="93"/>
    </row>
    <row r="61" spans="1:9" s="90" customFormat="1" ht="25.5">
      <c r="A61" s="91">
        <v>5</v>
      </c>
      <c r="B61" s="96" t="s">
        <v>203</v>
      </c>
      <c r="C61" s="96"/>
      <c r="D61" s="174"/>
      <c r="E61" s="174"/>
      <c r="F61" s="174"/>
      <c r="G61" s="174"/>
      <c r="H61" s="93"/>
      <c r="I61" s="93"/>
    </row>
    <row r="62" spans="1:9" s="90" customFormat="1" ht="12.75">
      <c r="A62" s="91">
        <v>6</v>
      </c>
      <c r="B62" s="96" t="s">
        <v>204</v>
      </c>
      <c r="C62" s="96"/>
      <c r="D62" s="174"/>
      <c r="E62" s="174"/>
      <c r="F62" s="174"/>
      <c r="G62" s="174"/>
      <c r="H62" s="93"/>
      <c r="I62" s="93"/>
    </row>
    <row r="63" spans="1:9" s="90" customFormat="1" ht="15.75" customHeight="1">
      <c r="A63" s="89" t="s">
        <v>19</v>
      </c>
      <c r="B63" s="92" t="s">
        <v>97</v>
      </c>
      <c r="C63" s="92"/>
      <c r="D63" s="174"/>
      <c r="E63" s="174"/>
      <c r="F63" s="174"/>
      <c r="G63" s="174"/>
      <c r="H63" s="93"/>
      <c r="I63" s="93"/>
    </row>
    <row r="64" spans="1:9" s="90" customFormat="1" ht="18" customHeight="1">
      <c r="A64" s="89" t="s">
        <v>29</v>
      </c>
      <c r="B64" s="92" t="s">
        <v>205</v>
      </c>
      <c r="C64" s="101">
        <v>1</v>
      </c>
      <c r="D64" s="178">
        <v>34794000000</v>
      </c>
      <c r="E64" s="178">
        <f>C64*D64</f>
        <v>34794000000</v>
      </c>
      <c r="F64" s="178">
        <f>G64</f>
        <v>2906464209</v>
      </c>
      <c r="G64" s="178">
        <f>'[1]48-CD'!F21</f>
        <v>2906464209</v>
      </c>
      <c r="H64" s="93">
        <f>(F64/D64)*100</f>
        <v>8.353348879117089</v>
      </c>
      <c r="I64" s="93">
        <f>G64/E64*100</f>
        <v>8.353348879117089</v>
      </c>
    </row>
    <row r="65" spans="1:9" s="90" customFormat="1" ht="18" customHeight="1">
      <c r="A65" s="89" t="s">
        <v>20</v>
      </c>
      <c r="B65" s="92" t="s">
        <v>206</v>
      </c>
      <c r="C65" s="92"/>
      <c r="D65" s="174"/>
      <c r="E65" s="174"/>
      <c r="F65" s="174"/>
      <c r="G65" s="174"/>
      <c r="H65" s="93"/>
      <c r="I65" s="93"/>
    </row>
    <row r="66" spans="1:9" s="90" customFormat="1" ht="20.25" customHeight="1">
      <c r="A66" s="89" t="s">
        <v>22</v>
      </c>
      <c r="B66" s="92" t="s">
        <v>98</v>
      </c>
      <c r="C66" s="92"/>
      <c r="D66" s="178"/>
      <c r="E66" s="178"/>
      <c r="F66" s="178">
        <f>'[1]48-CD'!D19</f>
        <v>114265779155</v>
      </c>
      <c r="G66" s="178">
        <f>F66</f>
        <v>114265779155</v>
      </c>
      <c r="H66" s="93"/>
      <c r="I66" s="93"/>
    </row>
    <row r="67" spans="1:9" s="90" customFormat="1" ht="31.5" customHeight="1">
      <c r="A67" s="89" t="s">
        <v>111</v>
      </c>
      <c r="B67" s="92" t="s">
        <v>99</v>
      </c>
      <c r="C67" s="92"/>
      <c r="D67" s="178"/>
      <c r="E67" s="178"/>
      <c r="F67" s="178">
        <f>'[1]48-CD'!D20</f>
        <v>150737420546</v>
      </c>
      <c r="G67" s="178">
        <f>F67</f>
        <v>150737420546</v>
      </c>
      <c r="H67" s="93"/>
      <c r="I67" s="93"/>
    </row>
    <row r="68" s="90" customFormat="1" ht="12.75"/>
    <row r="69" spans="1:9" ht="18.75">
      <c r="A69" s="87"/>
      <c r="B69" s="87"/>
      <c r="C69" s="87"/>
      <c r="D69" s="87"/>
      <c r="E69" s="87"/>
      <c r="F69" s="87"/>
      <c r="G69" s="87"/>
      <c r="H69" s="87"/>
      <c r="I69" s="87"/>
    </row>
    <row r="70" spans="1:9" ht="18.75">
      <c r="A70" s="87"/>
      <c r="B70" s="87"/>
      <c r="C70" s="87"/>
      <c r="D70" s="87"/>
      <c r="E70" s="87"/>
      <c r="F70" s="87"/>
      <c r="G70" s="87"/>
      <c r="H70" s="87"/>
      <c r="I70" s="87"/>
    </row>
    <row r="71" spans="1:9" ht="18.75">
      <c r="A71" s="87"/>
      <c r="B71" s="87"/>
      <c r="C71" s="87"/>
      <c r="D71" s="87"/>
      <c r="E71" s="87"/>
      <c r="F71" s="87"/>
      <c r="G71" s="87"/>
      <c r="H71" s="87"/>
      <c r="I71" s="87"/>
    </row>
    <row r="72" spans="1:9" ht="18.75">
      <c r="A72" s="87"/>
      <c r="B72" s="87"/>
      <c r="C72" s="87"/>
      <c r="D72" s="87"/>
      <c r="E72" s="87"/>
      <c r="F72" s="87"/>
      <c r="G72" s="87"/>
      <c r="H72" s="87"/>
      <c r="I72" s="87"/>
    </row>
    <row r="73" spans="1:9" ht="18.75">
      <c r="A73" s="87"/>
      <c r="B73" s="87"/>
      <c r="C73" s="87"/>
      <c r="D73" s="87"/>
      <c r="E73" s="87"/>
      <c r="F73" s="87"/>
      <c r="G73" s="87"/>
      <c r="H73" s="87"/>
      <c r="I73" s="87"/>
    </row>
    <row r="74" spans="1:9" ht="18.75">
      <c r="A74" s="87"/>
      <c r="B74" s="87"/>
      <c r="C74" s="87"/>
      <c r="D74" s="87"/>
      <c r="E74" s="87"/>
      <c r="F74" s="87"/>
      <c r="G74" s="87"/>
      <c r="H74" s="87"/>
      <c r="I74" s="87"/>
    </row>
    <row r="75" spans="1:9" ht="18.75">
      <c r="A75" s="87"/>
      <c r="B75" s="87"/>
      <c r="C75" s="87"/>
      <c r="D75" s="87"/>
      <c r="E75" s="87"/>
      <c r="F75" s="87"/>
      <c r="G75" s="87"/>
      <c r="H75" s="87"/>
      <c r="I75" s="87"/>
    </row>
    <row r="76" spans="1:9" ht="18.75">
      <c r="A76" s="87"/>
      <c r="B76" s="87"/>
      <c r="C76" s="87"/>
      <c r="D76" s="87"/>
      <c r="E76" s="87"/>
      <c r="F76" s="87"/>
      <c r="G76" s="87"/>
      <c r="H76" s="87"/>
      <c r="I76" s="87"/>
    </row>
    <row r="77" spans="1:9" ht="18.75">
      <c r="A77" s="87"/>
      <c r="B77" s="87"/>
      <c r="C77" s="87"/>
      <c r="D77" s="87"/>
      <c r="E77" s="87"/>
      <c r="F77" s="87"/>
      <c r="G77" s="87"/>
      <c r="H77" s="87"/>
      <c r="I77" s="87"/>
    </row>
    <row r="78" spans="1:9" ht="18.75">
      <c r="A78" s="87"/>
      <c r="B78" s="87"/>
      <c r="C78" s="87"/>
      <c r="D78" s="87"/>
      <c r="E78" s="87"/>
      <c r="F78" s="87"/>
      <c r="G78" s="87"/>
      <c r="H78" s="87"/>
      <c r="I78" s="87"/>
    </row>
    <row r="79" spans="1:9" ht="18.75">
      <c r="A79" s="87"/>
      <c r="B79" s="87"/>
      <c r="C79" s="87"/>
      <c r="D79" s="87"/>
      <c r="E79" s="87"/>
      <c r="F79" s="87"/>
      <c r="G79" s="87"/>
      <c r="H79" s="87"/>
      <c r="I79" s="87"/>
    </row>
    <row r="80" spans="1:9" ht="18.75">
      <c r="A80" s="87"/>
      <c r="B80" s="87"/>
      <c r="C80" s="87"/>
      <c r="D80" s="87"/>
      <c r="E80" s="87"/>
      <c r="F80" s="87"/>
      <c r="G80" s="87"/>
      <c r="H80" s="87"/>
      <c r="I80" s="87"/>
    </row>
    <row r="81" spans="1:9" ht="18.75">
      <c r="A81" s="87"/>
      <c r="B81" s="87"/>
      <c r="C81" s="87"/>
      <c r="D81" s="87"/>
      <c r="E81" s="87"/>
      <c r="F81" s="87"/>
      <c r="G81" s="87"/>
      <c r="H81" s="87"/>
      <c r="I81" s="87"/>
    </row>
    <row r="82" spans="1:9" ht="18.75">
      <c r="A82" s="87"/>
      <c r="B82" s="87"/>
      <c r="C82" s="87"/>
      <c r="D82" s="87"/>
      <c r="E82" s="87"/>
      <c r="F82" s="87"/>
      <c r="G82" s="87"/>
      <c r="H82" s="87"/>
      <c r="I82" s="87"/>
    </row>
  </sheetData>
  <sheetProtection/>
  <mergeCells count="10">
    <mergeCell ref="A6:I6"/>
    <mergeCell ref="G1:I1"/>
    <mergeCell ref="A4:I4"/>
    <mergeCell ref="A5:I5"/>
    <mergeCell ref="A8:A9"/>
    <mergeCell ref="B8:B9"/>
    <mergeCell ref="C8:C9"/>
    <mergeCell ref="D8:E8"/>
    <mergeCell ref="F8:G8"/>
    <mergeCell ref="H8:I8"/>
  </mergeCells>
  <printOptions/>
  <pageMargins left="0.3937007874015748" right="0.3937007874015748" top="0.5905511811023623" bottom="0.5905511811023623" header="0.31496062992125984" footer="0.31496062992125984"/>
  <pageSetup horizontalDpi="600" verticalDpi="600" orientation="portrait" paperSize="9" r:id="rId1"/>
  <headerFooter>
    <oddHeader>&amp;CPage &amp;P</oddHeader>
  </headerFooter>
</worksheet>
</file>

<file path=xl/worksheets/sheet3.xml><?xml version="1.0" encoding="utf-8"?>
<worksheet xmlns="http://schemas.openxmlformats.org/spreadsheetml/2006/main" xmlns:r="http://schemas.openxmlformats.org/officeDocument/2006/relationships">
  <sheetPr>
    <tabColor rgb="FF00B0F0"/>
  </sheetPr>
  <dimension ref="A1:M103"/>
  <sheetViews>
    <sheetView zoomScalePageLayoutView="0" workbookViewId="0" topLeftCell="A1">
      <selection activeCell="A5" sqref="A5:M5"/>
    </sheetView>
  </sheetViews>
  <sheetFormatPr defaultColWidth="9.140625" defaultRowHeight="12.75"/>
  <cols>
    <col min="1" max="1" width="6.28125" style="156" customWidth="1"/>
    <col min="2" max="2" width="40.57421875" style="156" customWidth="1"/>
    <col min="3" max="8" width="13.7109375" style="155" customWidth="1"/>
    <col min="9" max="10" width="18.28125" style="155" hidden="1" customWidth="1"/>
    <col min="11" max="11" width="10.28125" style="156" customWidth="1"/>
    <col min="12" max="12" width="9.8515625" style="156" customWidth="1"/>
    <col min="13" max="13" width="9.140625" style="156" customWidth="1"/>
    <col min="14" max="16384" width="9.140625" style="156" customWidth="1"/>
  </cols>
  <sheetData>
    <row r="1" spans="1:13" ht="33.75" customHeight="1">
      <c r="A1" s="453" t="s">
        <v>511</v>
      </c>
      <c r="B1" s="453"/>
      <c r="K1" s="439" t="s">
        <v>32</v>
      </c>
      <c r="L1" s="439"/>
      <c r="M1" s="439"/>
    </row>
    <row r="2" spans="2:10" ht="15" customHeight="1">
      <c r="B2" s="157"/>
      <c r="C2" s="158"/>
      <c r="D2" s="158"/>
      <c r="E2" s="158"/>
      <c r="F2" s="158"/>
      <c r="G2" s="158"/>
      <c r="H2" s="158"/>
      <c r="I2" s="158"/>
      <c r="J2" s="158"/>
    </row>
    <row r="3" spans="1:13" ht="41.25" customHeight="1">
      <c r="A3" s="454" t="s">
        <v>562</v>
      </c>
      <c r="B3" s="455"/>
      <c r="C3" s="455"/>
      <c r="D3" s="455"/>
      <c r="E3" s="455"/>
      <c r="F3" s="455"/>
      <c r="G3" s="455"/>
      <c r="H3" s="455"/>
      <c r="I3" s="455"/>
      <c r="J3" s="455"/>
      <c r="K3" s="455"/>
      <c r="L3" s="455"/>
      <c r="M3" s="455"/>
    </row>
    <row r="4" spans="1:13" ht="18" customHeight="1">
      <c r="A4" s="456" t="s">
        <v>36</v>
      </c>
      <c r="B4" s="456"/>
      <c r="C4" s="456"/>
      <c r="D4" s="456"/>
      <c r="E4" s="456"/>
      <c r="F4" s="456"/>
      <c r="G4" s="456"/>
      <c r="H4" s="456"/>
      <c r="I4" s="456"/>
      <c r="J4" s="456"/>
      <c r="K4" s="456"/>
      <c r="L4" s="456"/>
      <c r="M4" s="456"/>
    </row>
    <row r="5" spans="1:13" ht="18" customHeight="1">
      <c r="A5" s="442" t="s">
        <v>605</v>
      </c>
      <c r="B5" s="442"/>
      <c r="C5" s="442"/>
      <c r="D5" s="442"/>
      <c r="E5" s="442"/>
      <c r="F5" s="442"/>
      <c r="G5" s="442"/>
      <c r="H5" s="442"/>
      <c r="I5" s="442"/>
      <c r="J5" s="442"/>
      <c r="K5" s="442"/>
      <c r="L5" s="442"/>
      <c r="M5" s="442"/>
    </row>
    <row r="6" spans="2:13" ht="20.25" customHeight="1">
      <c r="B6" s="159"/>
      <c r="C6" s="158"/>
      <c r="D6" s="158"/>
      <c r="E6" s="158"/>
      <c r="F6" s="158"/>
      <c r="G6" s="158"/>
      <c r="H6" s="158"/>
      <c r="I6" s="160"/>
      <c r="J6" s="160"/>
      <c r="K6" s="451" t="s">
        <v>554</v>
      </c>
      <c r="L6" s="451"/>
      <c r="M6" s="451"/>
    </row>
    <row r="7" spans="1:13" ht="24.75" customHeight="1">
      <c r="A7" s="457" t="s">
        <v>0</v>
      </c>
      <c r="B7" s="457" t="s">
        <v>207</v>
      </c>
      <c r="C7" s="450" t="s">
        <v>512</v>
      </c>
      <c r="D7" s="448" t="s">
        <v>54</v>
      </c>
      <c r="E7" s="449"/>
      <c r="F7" s="450" t="s">
        <v>4</v>
      </c>
      <c r="G7" s="450" t="s">
        <v>513</v>
      </c>
      <c r="H7" s="450"/>
      <c r="I7" s="116"/>
      <c r="J7" s="116"/>
      <c r="K7" s="452" t="s">
        <v>23</v>
      </c>
      <c r="L7" s="452"/>
      <c r="M7" s="452"/>
    </row>
    <row r="8" spans="1:13" ht="65.25" customHeight="1">
      <c r="A8" s="457"/>
      <c r="B8" s="457"/>
      <c r="C8" s="450"/>
      <c r="D8" s="116" t="s">
        <v>344</v>
      </c>
      <c r="E8" s="116" t="s">
        <v>3</v>
      </c>
      <c r="F8" s="450"/>
      <c r="G8" s="116" t="s">
        <v>344</v>
      </c>
      <c r="H8" s="116" t="s">
        <v>3</v>
      </c>
      <c r="I8" s="116" t="s">
        <v>514</v>
      </c>
      <c r="J8" s="116" t="s">
        <v>515</v>
      </c>
      <c r="K8" s="117" t="s">
        <v>208</v>
      </c>
      <c r="L8" s="117" t="s">
        <v>345</v>
      </c>
      <c r="M8" s="117" t="s">
        <v>346</v>
      </c>
    </row>
    <row r="9" spans="1:13" ht="18.75" customHeight="1">
      <c r="A9" s="118" t="s">
        <v>9</v>
      </c>
      <c r="B9" s="118" t="s">
        <v>20</v>
      </c>
      <c r="C9" s="119" t="s">
        <v>5</v>
      </c>
      <c r="D9" s="119" t="s">
        <v>347</v>
      </c>
      <c r="E9" s="119" t="s">
        <v>348</v>
      </c>
      <c r="F9" s="119" t="s">
        <v>6</v>
      </c>
      <c r="G9" s="119" t="s">
        <v>349</v>
      </c>
      <c r="H9" s="119" t="s">
        <v>350</v>
      </c>
      <c r="I9" s="119"/>
      <c r="J9" s="119"/>
      <c r="K9" s="120" t="s">
        <v>516</v>
      </c>
      <c r="L9" s="120" t="s">
        <v>7</v>
      </c>
      <c r="M9" s="120" t="s">
        <v>8</v>
      </c>
    </row>
    <row r="10" spans="1:13" ht="30" customHeight="1">
      <c r="A10" s="121"/>
      <c r="B10" s="122" t="s">
        <v>563</v>
      </c>
      <c r="C10" s="198">
        <f>C11+C97+C100+C101+C102+C103</f>
        <v>1284117204889</v>
      </c>
      <c r="D10" s="198">
        <f>D11+D97+D100</f>
        <v>1000298302829</v>
      </c>
      <c r="E10" s="198">
        <f>E11+E97+E100</f>
        <v>267171615495</v>
      </c>
      <c r="F10" s="198">
        <f>F11+F97+F100</f>
        <v>1252361121696</v>
      </c>
      <c r="G10" s="198">
        <f>G11+G97+G100+G101+G102+G103</f>
        <v>996505345637</v>
      </c>
      <c r="H10" s="198">
        <f>H11+H97+H100</f>
        <v>265184642556</v>
      </c>
      <c r="I10" s="116"/>
      <c r="J10" s="116"/>
      <c r="K10" s="123">
        <f aca="true" t="shared" si="0" ref="K10:M13">(F10/C10)*100</f>
        <v>97.52701053516802</v>
      </c>
      <c r="L10" s="123">
        <f t="shared" si="0"/>
        <v>99.62081739204466</v>
      </c>
      <c r="M10" s="123">
        <f t="shared" si="0"/>
        <v>99.25629339953697</v>
      </c>
    </row>
    <row r="11" spans="1:13" ht="30" customHeight="1">
      <c r="A11" s="121" t="s">
        <v>9</v>
      </c>
      <c r="B11" s="122" t="s">
        <v>209</v>
      </c>
      <c r="C11" s="198">
        <f>C12+C75+C92+C93+C94+C95+C96</f>
        <v>1197033503937</v>
      </c>
      <c r="D11" s="198">
        <f>D12+D75+D92+D93+D94+D96</f>
        <v>934205669121</v>
      </c>
      <c r="E11" s="198">
        <f>E12+E75+E92+E93+E94+E96</f>
        <v>253802548251</v>
      </c>
      <c r="F11" s="198">
        <f>F12+F75+F92+F93+F94+F96</f>
        <v>1051814970760</v>
      </c>
      <c r="G11" s="198">
        <f>G12+G75+G92+G93+G94+G96</f>
        <v>805210542673</v>
      </c>
      <c r="H11" s="198">
        <f>H12+H75+H92+H93+H94+H96</f>
        <v>246604428087</v>
      </c>
      <c r="I11" s="116">
        <f>I12+I75+I92+I93+I94+I96+I95</f>
        <v>0</v>
      </c>
      <c r="J11" s="116">
        <f>J12+J75+J92+J93+J94+J96+J95</f>
        <v>0</v>
      </c>
      <c r="K11" s="123">
        <f t="shared" si="0"/>
        <v>87.86846544400123</v>
      </c>
      <c r="L11" s="123">
        <f t="shared" si="0"/>
        <v>86.19199918050462</v>
      </c>
      <c r="M11" s="123">
        <f t="shared" si="0"/>
        <v>97.16388971915232</v>
      </c>
    </row>
    <row r="12" spans="1:13" ht="30" customHeight="1">
      <c r="A12" s="121" t="s">
        <v>10</v>
      </c>
      <c r="B12" s="122" t="s">
        <v>11</v>
      </c>
      <c r="C12" s="198">
        <f aca="true" t="shared" si="1" ref="C12:H12">C13</f>
        <v>318020687915</v>
      </c>
      <c r="D12" s="198">
        <f t="shared" si="1"/>
        <v>298800500062</v>
      </c>
      <c r="E12" s="198">
        <f t="shared" si="1"/>
        <v>19220187853</v>
      </c>
      <c r="F12" s="198">
        <f t="shared" si="1"/>
        <v>255772456062</v>
      </c>
      <c r="G12" s="198">
        <f t="shared" si="1"/>
        <v>241096207062</v>
      </c>
      <c r="H12" s="198">
        <f t="shared" si="1"/>
        <v>14676249000</v>
      </c>
      <c r="I12" s="116"/>
      <c r="J12" s="116"/>
      <c r="K12" s="123">
        <f t="shared" si="0"/>
        <v>80.42635771241473</v>
      </c>
      <c r="L12" s="123">
        <f t="shared" si="0"/>
        <v>80.6880199370394</v>
      </c>
      <c r="M12" s="123">
        <f t="shared" si="0"/>
        <v>76.35850966830819</v>
      </c>
    </row>
    <row r="13" spans="1:13" s="161" customFormat="1" ht="32.25" customHeight="1">
      <c r="A13" s="118">
        <v>1</v>
      </c>
      <c r="B13" s="124" t="s">
        <v>210</v>
      </c>
      <c r="C13" s="198">
        <f aca="true" t="shared" si="2" ref="C13:C18">D13+E13</f>
        <v>318020687915</v>
      </c>
      <c r="D13" s="198">
        <f>D17</f>
        <v>298800500062</v>
      </c>
      <c r="E13" s="198">
        <f>E17</f>
        <v>19220187853</v>
      </c>
      <c r="F13" s="198">
        <f>G13+H13</f>
        <v>255772456062</v>
      </c>
      <c r="G13" s="198">
        <f>G17</f>
        <v>241096207062</v>
      </c>
      <c r="H13" s="198">
        <f>H17</f>
        <v>14676249000</v>
      </c>
      <c r="I13" s="116"/>
      <c r="J13" s="116"/>
      <c r="K13" s="125">
        <f t="shared" si="0"/>
        <v>80.42635771241473</v>
      </c>
      <c r="L13" s="125">
        <f t="shared" si="0"/>
        <v>80.6880199370394</v>
      </c>
      <c r="M13" s="125">
        <f t="shared" si="0"/>
        <v>76.35850966830819</v>
      </c>
    </row>
    <row r="14" spans="1:13" s="162" customFormat="1" ht="32.25" customHeight="1">
      <c r="A14" s="126" t="s">
        <v>351</v>
      </c>
      <c r="B14" s="127" t="s">
        <v>211</v>
      </c>
      <c r="C14" s="199">
        <f t="shared" si="2"/>
        <v>318020687915</v>
      </c>
      <c r="D14" s="200">
        <f>'[4]55-XDCB'!E8</f>
        <v>298800500062</v>
      </c>
      <c r="E14" s="199">
        <f>E17</f>
        <v>19220187853</v>
      </c>
      <c r="F14" s="199">
        <f>+G14+H14</f>
        <v>255772456062</v>
      </c>
      <c r="G14" s="199">
        <f>G17</f>
        <v>241096207062</v>
      </c>
      <c r="H14" s="199">
        <f>H17</f>
        <v>14676249000</v>
      </c>
      <c r="I14" s="128"/>
      <c r="J14" s="128"/>
      <c r="K14" s="129">
        <f>(F14/C14)*100</f>
        <v>80.42635771241473</v>
      </c>
      <c r="L14" s="129">
        <f>(G14/D14)*100</f>
        <v>80.6880199370394</v>
      </c>
      <c r="M14" s="129"/>
    </row>
    <row r="15" spans="1:13" s="162" customFormat="1" ht="32.25" customHeight="1">
      <c r="A15" s="130" t="s">
        <v>31</v>
      </c>
      <c r="B15" s="131" t="s">
        <v>100</v>
      </c>
      <c r="C15" s="201">
        <f t="shared" si="2"/>
        <v>72585000000</v>
      </c>
      <c r="D15" s="201">
        <v>72585000000</v>
      </c>
      <c r="E15" s="201"/>
      <c r="F15" s="201">
        <f>G15+H15</f>
        <v>60530759000</v>
      </c>
      <c r="G15" s="201">
        <f>'[4]55-XDCB'!M8</f>
        <v>60530759000</v>
      </c>
      <c r="H15" s="201"/>
      <c r="I15" s="132"/>
      <c r="J15" s="132"/>
      <c r="K15" s="129"/>
      <c r="L15" s="129"/>
      <c r="M15" s="129"/>
    </row>
    <row r="16" spans="1:13" s="162" customFormat="1" ht="32.25" customHeight="1">
      <c r="A16" s="130" t="s">
        <v>31</v>
      </c>
      <c r="B16" s="131" t="s">
        <v>12</v>
      </c>
      <c r="C16" s="201">
        <f t="shared" si="2"/>
        <v>0</v>
      </c>
      <c r="D16" s="201"/>
      <c r="E16" s="201"/>
      <c r="F16" s="201">
        <f>G16+H16</f>
        <v>0</v>
      </c>
      <c r="G16" s="201"/>
      <c r="H16" s="201"/>
      <c r="I16" s="132"/>
      <c r="J16" s="132"/>
      <c r="K16" s="129"/>
      <c r="L16" s="129"/>
      <c r="M16" s="129"/>
    </row>
    <row r="17" spans="1:13" s="161" customFormat="1" ht="32.25" customHeight="1">
      <c r="A17" s="133" t="s">
        <v>351</v>
      </c>
      <c r="B17" s="124" t="s">
        <v>219</v>
      </c>
      <c r="C17" s="202">
        <f t="shared" si="2"/>
        <v>318020687915</v>
      </c>
      <c r="D17" s="202">
        <f>D18+D36+D54</f>
        <v>298800500062</v>
      </c>
      <c r="E17" s="202">
        <f>E18+E36+E54+E72+E71</f>
        <v>19220187853</v>
      </c>
      <c r="F17" s="202">
        <f>F18+F36+F54+F71+F72</f>
        <v>255772456062</v>
      </c>
      <c r="G17" s="202">
        <f>G18+G36+G54</f>
        <v>241096207062</v>
      </c>
      <c r="H17" s="202">
        <f>H18+H36+H54+H72+H71</f>
        <v>14676249000</v>
      </c>
      <c r="I17" s="134"/>
      <c r="J17" s="134"/>
      <c r="K17" s="125">
        <f aca="true" t="shared" si="3" ref="K17:M18">(F17/C17)*100</f>
        <v>80.42635771241473</v>
      </c>
      <c r="L17" s="125">
        <f t="shared" si="3"/>
        <v>80.6880199370394</v>
      </c>
      <c r="M17" s="125">
        <f t="shared" si="3"/>
        <v>76.35850966830819</v>
      </c>
    </row>
    <row r="18" spans="1:13" s="161" customFormat="1" ht="24.75" customHeight="1">
      <c r="A18" s="118" t="s">
        <v>138</v>
      </c>
      <c r="B18" s="124" t="s">
        <v>352</v>
      </c>
      <c r="C18" s="198">
        <f t="shared" si="2"/>
        <v>138572164204</v>
      </c>
      <c r="D18" s="198">
        <f>D19+D24+D30</f>
        <v>136727578000</v>
      </c>
      <c r="E18" s="198">
        <f>E19+E24+E30</f>
        <v>1844586204</v>
      </c>
      <c r="F18" s="198">
        <f>F19+F24+F30</f>
        <v>105769406000</v>
      </c>
      <c r="G18" s="198">
        <f>G19+G24+G30</f>
        <v>105293841000</v>
      </c>
      <c r="H18" s="198">
        <f>H19+H24+H30</f>
        <v>475565000</v>
      </c>
      <c r="I18" s="116"/>
      <c r="J18" s="116"/>
      <c r="K18" s="125">
        <f t="shared" si="3"/>
        <v>76.32803211782911</v>
      </c>
      <c r="L18" s="125">
        <f t="shared" si="3"/>
        <v>77.0099511307075</v>
      </c>
      <c r="M18" s="125">
        <f t="shared" si="3"/>
        <v>25.781663061814815</v>
      </c>
    </row>
    <row r="19" spans="1:13" s="161" customFormat="1" ht="15.75" hidden="1">
      <c r="A19" s="135" t="s">
        <v>31</v>
      </c>
      <c r="B19" s="124" t="s">
        <v>564</v>
      </c>
      <c r="C19" s="198">
        <f aca="true" t="shared" si="4" ref="C19:H19">+SUM(C20:C23)</f>
        <v>107049000000</v>
      </c>
      <c r="D19" s="198">
        <f t="shared" si="4"/>
        <v>107049000000</v>
      </c>
      <c r="E19" s="198">
        <f t="shared" si="4"/>
        <v>0</v>
      </c>
      <c r="F19" s="198">
        <f t="shared" si="4"/>
        <v>75948979000</v>
      </c>
      <c r="G19" s="198">
        <f t="shared" si="4"/>
        <v>75948979000</v>
      </c>
      <c r="H19" s="198">
        <f t="shared" si="4"/>
        <v>0</v>
      </c>
      <c r="I19" s="116"/>
      <c r="J19" s="116"/>
      <c r="K19" s="125"/>
      <c r="L19" s="125"/>
      <c r="M19" s="125"/>
    </row>
    <row r="20" spans="1:13" s="162" customFormat="1" ht="15.75" hidden="1">
      <c r="A20" s="135"/>
      <c r="B20" s="136" t="s">
        <v>565</v>
      </c>
      <c r="C20" s="201">
        <f>D20+E20</f>
        <v>103049000000</v>
      </c>
      <c r="D20" s="201">
        <f>'[4]55-XDCB'!I9-D23</f>
        <v>103049000000</v>
      </c>
      <c r="E20" s="201"/>
      <c r="F20" s="201">
        <f aca="true" t="shared" si="5" ref="F20:F35">G20+H20</f>
        <v>71948979000</v>
      </c>
      <c r="G20" s="201">
        <f>'[4]55-XDCB'!L10-'[4]53'!G24</f>
        <v>71948979000</v>
      </c>
      <c r="H20" s="201"/>
      <c r="I20" s="132"/>
      <c r="J20" s="132"/>
      <c r="K20" s="129"/>
      <c r="L20" s="129"/>
      <c r="M20" s="129"/>
    </row>
    <row r="21" spans="1:13" s="162" customFormat="1" ht="15.75" hidden="1">
      <c r="A21" s="135"/>
      <c r="B21" s="136" t="s">
        <v>495</v>
      </c>
      <c r="C21" s="201">
        <f>D21+E21</f>
        <v>0</v>
      </c>
      <c r="D21" s="201"/>
      <c r="E21" s="201"/>
      <c r="F21" s="201">
        <f t="shared" si="5"/>
        <v>0</v>
      </c>
      <c r="G21" s="201"/>
      <c r="H21" s="201"/>
      <c r="I21" s="132"/>
      <c r="J21" s="132"/>
      <c r="K21" s="129"/>
      <c r="L21" s="129"/>
      <c r="M21" s="129"/>
    </row>
    <row r="22" spans="1:13" s="162" customFormat="1" ht="15.75" hidden="1">
      <c r="A22" s="130"/>
      <c r="B22" s="136" t="s">
        <v>325</v>
      </c>
      <c r="C22" s="201">
        <f>D22+E22</f>
        <v>0</v>
      </c>
      <c r="D22" s="201"/>
      <c r="E22" s="201"/>
      <c r="F22" s="201">
        <f t="shared" si="5"/>
        <v>0</v>
      </c>
      <c r="G22" s="201"/>
      <c r="H22" s="201"/>
      <c r="I22" s="132"/>
      <c r="J22" s="132"/>
      <c r="K22" s="129"/>
      <c r="L22" s="129"/>
      <c r="M22" s="129"/>
    </row>
    <row r="23" spans="1:13" s="161" customFormat="1" ht="31.5" hidden="1">
      <c r="A23" s="130"/>
      <c r="B23" s="137" t="s">
        <v>505</v>
      </c>
      <c r="C23" s="201">
        <f>D23+E23</f>
        <v>4000000000</v>
      </c>
      <c r="D23" s="203">
        <v>4000000000</v>
      </c>
      <c r="E23" s="201"/>
      <c r="F23" s="201">
        <f t="shared" si="5"/>
        <v>4000000000</v>
      </c>
      <c r="G23" s="201">
        <v>4000000000</v>
      </c>
      <c r="H23" s="201"/>
      <c r="I23" s="132"/>
      <c r="J23" s="132"/>
      <c r="K23" s="129"/>
      <c r="L23" s="129"/>
      <c r="M23" s="129"/>
    </row>
    <row r="24" spans="1:13" s="162" customFormat="1" ht="15.75" hidden="1">
      <c r="A24" s="138" t="s">
        <v>31</v>
      </c>
      <c r="B24" s="124" t="s">
        <v>566</v>
      </c>
      <c r="C24" s="198">
        <f>D24+E24</f>
        <v>28873164204</v>
      </c>
      <c r="D24" s="198">
        <f>+D25+D26+D27+D29</f>
        <v>27028578000</v>
      </c>
      <c r="E24" s="198">
        <f>+E25+E26+E27+E29</f>
        <v>1844586204</v>
      </c>
      <c r="F24" s="198">
        <f>+F25+F26+F27+F29</f>
        <v>27170427000</v>
      </c>
      <c r="G24" s="198">
        <f>+G25+G26+G27+G29</f>
        <v>26694862000</v>
      </c>
      <c r="H24" s="198">
        <f>+H25+H26+H27+H29</f>
        <v>475565000</v>
      </c>
      <c r="I24" s="116"/>
      <c r="J24" s="116"/>
      <c r="K24" s="125">
        <f>(F24/C24)*100</f>
        <v>94.1026996834517</v>
      </c>
      <c r="L24" s="125">
        <f>(G24/D24)*100</f>
        <v>98.7653216532516</v>
      </c>
      <c r="M24" s="125">
        <f>(H24/E24)*100</f>
        <v>25.781663061814815</v>
      </c>
    </row>
    <row r="25" spans="1:13" s="163" customFormat="1" ht="15.75" hidden="1">
      <c r="A25" s="135"/>
      <c r="B25" s="136" t="s">
        <v>326</v>
      </c>
      <c r="C25" s="201">
        <f>+D25+E25</f>
        <v>27028578000</v>
      </c>
      <c r="D25" s="201">
        <f>'[4]55-XDCB'!G91</f>
        <v>27028578000</v>
      </c>
      <c r="E25" s="199">
        <v>0</v>
      </c>
      <c r="F25" s="201">
        <f t="shared" si="5"/>
        <v>26694862000</v>
      </c>
      <c r="G25" s="201">
        <f>'[4]55-XDCB'!L91</f>
        <v>26694862000</v>
      </c>
      <c r="H25" s="201"/>
      <c r="I25" s="132"/>
      <c r="J25" s="132"/>
      <c r="K25" s="129"/>
      <c r="L25" s="129"/>
      <c r="M25" s="129"/>
    </row>
    <row r="26" spans="1:13" s="163" customFormat="1" ht="15.75" hidden="1">
      <c r="A26" s="126"/>
      <c r="B26" s="137" t="s">
        <v>327</v>
      </c>
      <c r="C26" s="201">
        <f>+D26+E26</f>
        <v>0</v>
      </c>
      <c r="D26" s="201"/>
      <c r="E26" s="201"/>
      <c r="F26" s="201">
        <f>+G26+H26</f>
        <v>0</v>
      </c>
      <c r="G26" s="201"/>
      <c r="H26" s="201"/>
      <c r="I26" s="128"/>
      <c r="J26" s="128"/>
      <c r="K26" s="139"/>
      <c r="L26" s="139"/>
      <c r="M26" s="139"/>
    </row>
    <row r="27" spans="1:13" s="163" customFormat="1" ht="15.75" hidden="1">
      <c r="A27" s="126"/>
      <c r="B27" s="137" t="s">
        <v>328</v>
      </c>
      <c r="C27" s="201">
        <f>+D27+E27</f>
        <v>0</v>
      </c>
      <c r="D27" s="199"/>
      <c r="E27" s="199"/>
      <c r="F27" s="199">
        <f t="shared" si="5"/>
        <v>0</v>
      </c>
      <c r="G27" s="199"/>
      <c r="H27" s="199"/>
      <c r="I27" s="128"/>
      <c r="J27" s="128"/>
      <c r="K27" s="139"/>
      <c r="L27" s="139"/>
      <c r="M27" s="139"/>
    </row>
    <row r="28" spans="1:13" s="161" customFormat="1" ht="15.75" hidden="1">
      <c r="A28" s="126"/>
      <c r="B28" s="137" t="s">
        <v>497</v>
      </c>
      <c r="C28" s="201"/>
      <c r="D28" s="199"/>
      <c r="E28" s="199"/>
      <c r="F28" s="199"/>
      <c r="G28" s="199"/>
      <c r="H28" s="199"/>
      <c r="I28" s="128"/>
      <c r="J28" s="128"/>
      <c r="K28" s="139"/>
      <c r="L28" s="139"/>
      <c r="M28" s="139" t="s">
        <v>370</v>
      </c>
    </row>
    <row r="29" spans="1:13" s="162" customFormat="1" ht="15.75" hidden="1">
      <c r="A29" s="126"/>
      <c r="B29" s="137" t="s">
        <v>353</v>
      </c>
      <c r="C29" s="201">
        <f>+D29+E29</f>
        <v>1844586204</v>
      </c>
      <c r="D29" s="199"/>
      <c r="E29" s="201">
        <f>'[5]CNguon (theo nguon)'!$C$12</f>
        <v>1844586204</v>
      </c>
      <c r="F29" s="201">
        <f t="shared" si="5"/>
        <v>475565000</v>
      </c>
      <c r="G29" s="199"/>
      <c r="H29" s="201">
        <v>475565000</v>
      </c>
      <c r="I29" s="128"/>
      <c r="J29" s="128"/>
      <c r="K29" s="139"/>
      <c r="L29" s="139"/>
      <c r="M29" s="139"/>
    </row>
    <row r="30" spans="1:13" s="163" customFormat="1" ht="15.75" hidden="1">
      <c r="A30" s="138" t="s">
        <v>31</v>
      </c>
      <c r="B30" s="124" t="s">
        <v>329</v>
      </c>
      <c r="C30" s="198">
        <f>SUM(C31:C35)</f>
        <v>2650000000</v>
      </c>
      <c r="D30" s="198">
        <f>SUM(D31:D35)</f>
        <v>2650000000</v>
      </c>
      <c r="E30" s="198">
        <f aca="true" t="shared" si="6" ref="E30:J30">+E31+E33+E34+E35</f>
        <v>0</v>
      </c>
      <c r="F30" s="198">
        <f>+F31+F33+F34+F35</f>
        <v>2650000000</v>
      </c>
      <c r="G30" s="198">
        <f t="shared" si="6"/>
        <v>2650000000</v>
      </c>
      <c r="H30" s="198">
        <f t="shared" si="6"/>
        <v>0</v>
      </c>
      <c r="I30" s="116">
        <f t="shared" si="6"/>
        <v>0</v>
      </c>
      <c r="J30" s="116">
        <f t="shared" si="6"/>
        <v>0</v>
      </c>
      <c r="K30" s="125">
        <f>(F30/C30)*100</f>
        <v>100</v>
      </c>
      <c r="L30" s="125">
        <f>(G30/D30)*100</f>
        <v>100</v>
      </c>
      <c r="M30" s="125"/>
    </row>
    <row r="31" spans="1:13" s="163" customFormat="1" ht="15.75" hidden="1">
      <c r="A31" s="135"/>
      <c r="B31" s="136" t="s">
        <v>326</v>
      </c>
      <c r="C31" s="201">
        <f>+D31+E31</f>
        <v>2650000000</v>
      </c>
      <c r="D31" s="201">
        <f>'[4]55-XDCB'!E148</f>
        <v>2650000000</v>
      </c>
      <c r="E31" s="201"/>
      <c r="F31" s="201">
        <f t="shared" si="5"/>
        <v>2650000000</v>
      </c>
      <c r="G31" s="201">
        <f>'[4]55-XDCB'!L148</f>
        <v>2650000000</v>
      </c>
      <c r="H31" s="201">
        <v>0</v>
      </c>
      <c r="I31" s="132"/>
      <c r="J31" s="132"/>
      <c r="K31" s="129"/>
      <c r="L31" s="129"/>
      <c r="M31" s="129"/>
    </row>
    <row r="32" spans="1:13" s="163" customFormat="1" ht="15.75" hidden="1">
      <c r="A32" s="135"/>
      <c r="B32" s="137" t="s">
        <v>328</v>
      </c>
      <c r="C32" s="201">
        <f>D32</f>
        <v>0</v>
      </c>
      <c r="D32" s="201"/>
      <c r="E32" s="201"/>
      <c r="F32" s="201">
        <f t="shared" si="5"/>
        <v>0</v>
      </c>
      <c r="G32" s="201"/>
      <c r="H32" s="201"/>
      <c r="I32" s="132"/>
      <c r="J32" s="132"/>
      <c r="K32" s="129"/>
      <c r="L32" s="129"/>
      <c r="M32" s="129"/>
    </row>
    <row r="33" spans="1:13" s="161" customFormat="1" ht="15.75" hidden="1">
      <c r="A33" s="140"/>
      <c r="B33" s="136" t="s">
        <v>498</v>
      </c>
      <c r="C33" s="201">
        <f>+D33+E33</f>
        <v>0</v>
      </c>
      <c r="D33" s="201"/>
      <c r="E33" s="201"/>
      <c r="F33" s="201">
        <f t="shared" si="5"/>
        <v>0</v>
      </c>
      <c r="G33" s="201"/>
      <c r="H33" s="201"/>
      <c r="I33" s="128"/>
      <c r="J33" s="128"/>
      <c r="K33" s="139"/>
      <c r="L33" s="139"/>
      <c r="M33" s="139"/>
    </row>
    <row r="34" spans="1:13" s="161" customFormat="1" ht="31.5" hidden="1">
      <c r="A34" s="140"/>
      <c r="B34" s="136" t="s">
        <v>330</v>
      </c>
      <c r="C34" s="199">
        <f>+D34+E34</f>
        <v>0</v>
      </c>
      <c r="D34" s="199"/>
      <c r="E34" s="201"/>
      <c r="F34" s="201">
        <f t="shared" si="5"/>
        <v>0</v>
      </c>
      <c r="G34" s="199"/>
      <c r="H34" s="201"/>
      <c r="I34" s="128"/>
      <c r="J34" s="128"/>
      <c r="K34" s="139"/>
      <c r="L34" s="139"/>
      <c r="M34" s="139"/>
    </row>
    <row r="35" spans="1:13" s="162" customFormat="1" ht="15.75" hidden="1">
      <c r="A35" s="140"/>
      <c r="B35" s="137" t="s">
        <v>331</v>
      </c>
      <c r="C35" s="199"/>
      <c r="D35" s="199"/>
      <c r="E35" s="199"/>
      <c r="F35" s="201">
        <f t="shared" si="5"/>
        <v>0</v>
      </c>
      <c r="G35" s="199"/>
      <c r="H35" s="199"/>
      <c r="I35" s="128"/>
      <c r="J35" s="128"/>
      <c r="K35" s="139"/>
      <c r="L35" s="139"/>
      <c r="M35" s="139"/>
    </row>
    <row r="36" spans="1:13" s="162" customFormat="1" ht="33" customHeight="1">
      <c r="A36" s="118" t="s">
        <v>140</v>
      </c>
      <c r="B36" s="124" t="s">
        <v>221</v>
      </c>
      <c r="C36" s="198">
        <f aca="true" t="shared" si="7" ref="C36:H36">+C37+C41+C47</f>
        <v>84319411349</v>
      </c>
      <c r="D36" s="198">
        <f t="shared" si="7"/>
        <v>77040578000</v>
      </c>
      <c r="E36" s="198">
        <f t="shared" si="7"/>
        <v>7278833349</v>
      </c>
      <c r="F36" s="198">
        <f t="shared" si="7"/>
        <v>74323343000</v>
      </c>
      <c r="G36" s="198">
        <f t="shared" si="7"/>
        <v>68410697000</v>
      </c>
      <c r="H36" s="198">
        <f t="shared" si="7"/>
        <v>5912646000</v>
      </c>
      <c r="I36" s="116"/>
      <c r="J36" s="116"/>
      <c r="K36" s="125">
        <f>(F36/C36)*100</f>
        <v>88.1449974696502</v>
      </c>
      <c r="L36" s="125">
        <f>(G36/D36)*100</f>
        <v>88.79826550626346</v>
      </c>
      <c r="M36" s="125">
        <f>(H36/E36)*100</f>
        <v>81.23068239791898</v>
      </c>
    </row>
    <row r="37" spans="1:13" s="162" customFormat="1" ht="22.5" customHeight="1" hidden="1">
      <c r="A37" s="135" t="s">
        <v>31</v>
      </c>
      <c r="B37" s="124" t="s">
        <v>564</v>
      </c>
      <c r="C37" s="198">
        <f aca="true" t="shared" si="8" ref="C37:J37">+C38+C39+C40</f>
        <v>58160000000</v>
      </c>
      <c r="D37" s="198">
        <f t="shared" si="8"/>
        <v>54442000000</v>
      </c>
      <c r="E37" s="198">
        <f t="shared" si="8"/>
        <v>3718000000</v>
      </c>
      <c r="F37" s="198">
        <f t="shared" si="8"/>
        <v>48619901000</v>
      </c>
      <c r="G37" s="198">
        <f t="shared" si="8"/>
        <v>46006901000</v>
      </c>
      <c r="H37" s="198">
        <f>SUM(H38:H40)</f>
        <v>2613000000</v>
      </c>
      <c r="I37" s="116">
        <f t="shared" si="8"/>
        <v>0</v>
      </c>
      <c r="J37" s="116">
        <f t="shared" si="8"/>
        <v>0</v>
      </c>
      <c r="K37" s="125"/>
      <c r="L37" s="125"/>
      <c r="M37" s="125"/>
    </row>
    <row r="38" spans="1:13" s="161" customFormat="1" ht="15.75" hidden="1">
      <c r="A38" s="135"/>
      <c r="B38" s="136" t="s">
        <v>326</v>
      </c>
      <c r="C38" s="201">
        <f>D38+E38</f>
        <v>53442000000</v>
      </c>
      <c r="D38" s="201">
        <f>'[4]55-XDCB'!I153</f>
        <v>53442000000</v>
      </c>
      <c r="E38" s="201"/>
      <c r="F38" s="201">
        <f>G38+H38</f>
        <v>46006901000</v>
      </c>
      <c r="G38" s="201">
        <f>'[4]55-XDCB'!L153</f>
        <v>46006901000</v>
      </c>
      <c r="H38" s="201"/>
      <c r="I38" s="132"/>
      <c r="J38" s="132"/>
      <c r="K38" s="129"/>
      <c r="L38" s="129"/>
      <c r="M38" s="129"/>
    </row>
    <row r="39" spans="1:13" s="163" customFormat="1" ht="15.75" hidden="1">
      <c r="A39" s="130"/>
      <c r="B39" s="136" t="s">
        <v>567</v>
      </c>
      <c r="C39" s="201">
        <f>D39+E39</f>
        <v>3718000000</v>
      </c>
      <c r="D39" s="201"/>
      <c r="E39" s="201">
        <v>3718000000</v>
      </c>
      <c r="F39" s="201">
        <f>G39+H39</f>
        <v>2613000000</v>
      </c>
      <c r="G39" s="201">
        <v>0</v>
      </c>
      <c r="H39" s="201">
        <f>3718000000-1105000000</f>
        <v>2613000000</v>
      </c>
      <c r="I39" s="132"/>
      <c r="J39" s="132"/>
      <c r="K39" s="129"/>
      <c r="L39" s="129"/>
      <c r="M39" s="129"/>
    </row>
    <row r="40" spans="1:13" s="163" customFormat="1" ht="34.5" customHeight="1" hidden="1">
      <c r="A40" s="130"/>
      <c r="B40" s="137" t="s">
        <v>568</v>
      </c>
      <c r="C40" s="201">
        <f aca="true" t="shared" si="9" ref="C40:C52">D40+E40</f>
        <v>1000000000</v>
      </c>
      <c r="D40" s="201">
        <v>1000000000</v>
      </c>
      <c r="E40" s="201"/>
      <c r="F40" s="201"/>
      <c r="G40" s="201"/>
      <c r="H40" s="201" t="s">
        <v>569</v>
      </c>
      <c r="I40" s="132"/>
      <c r="J40" s="132"/>
      <c r="K40" s="129"/>
      <c r="L40" s="129"/>
      <c r="M40" s="129"/>
    </row>
    <row r="41" spans="1:13" s="163" customFormat="1" ht="15.75" hidden="1">
      <c r="A41" s="138" t="s">
        <v>31</v>
      </c>
      <c r="B41" s="124" t="s">
        <v>496</v>
      </c>
      <c r="C41" s="198">
        <f>D41+E41</f>
        <v>13130411349</v>
      </c>
      <c r="D41" s="198">
        <f>SUM(D42:D46)</f>
        <v>9569578000</v>
      </c>
      <c r="E41" s="198">
        <f>SUM(E42:E46)</f>
        <v>3560833349</v>
      </c>
      <c r="F41" s="198">
        <f>SUM(F42:F46)</f>
        <v>12674442000</v>
      </c>
      <c r="G41" s="198">
        <f>SUM(G42:G46)</f>
        <v>9374796000</v>
      </c>
      <c r="H41" s="198">
        <f>SUM(H42:H46)</f>
        <v>3299646000</v>
      </c>
      <c r="I41" s="116"/>
      <c r="J41" s="116"/>
      <c r="K41" s="125">
        <f>(F41/C41)*100</f>
        <v>96.52737955513689</v>
      </c>
      <c r="L41" s="125">
        <f>(G41/D41)*100</f>
        <v>97.964570642509</v>
      </c>
      <c r="M41" s="125"/>
    </row>
    <row r="42" spans="1:13" s="163" customFormat="1" ht="15.75" hidden="1">
      <c r="A42" s="126"/>
      <c r="B42" s="136" t="s">
        <v>326</v>
      </c>
      <c r="C42" s="201">
        <f t="shared" si="9"/>
        <v>9351299000</v>
      </c>
      <c r="D42" s="201">
        <f>'[4]55-XDCB'!G173-'[4]53'!D46</f>
        <v>9351299000</v>
      </c>
      <c r="E42" s="199"/>
      <c r="F42" s="201">
        <f>G42+H42</f>
        <v>9350384000</v>
      </c>
      <c r="G42" s="201">
        <f>'[4]55-XDCB'!L174+'[4]55-XDCB'!L181</f>
        <v>9350384000</v>
      </c>
      <c r="H42" s="199"/>
      <c r="I42" s="128"/>
      <c r="J42" s="128"/>
      <c r="K42" s="139"/>
      <c r="L42" s="139"/>
      <c r="M42" s="139"/>
    </row>
    <row r="43" spans="1:13" s="163" customFormat="1" ht="15.75" hidden="1">
      <c r="A43" s="126"/>
      <c r="B43" s="137" t="s">
        <v>328</v>
      </c>
      <c r="C43" s="201">
        <f t="shared" si="9"/>
        <v>0</v>
      </c>
      <c r="D43" s="201"/>
      <c r="E43" s="201"/>
      <c r="F43" s="201">
        <f>G43+H43</f>
        <v>0</v>
      </c>
      <c r="G43" s="201"/>
      <c r="H43" s="201"/>
      <c r="I43" s="128"/>
      <c r="J43" s="128"/>
      <c r="K43" s="139"/>
      <c r="L43" s="139"/>
      <c r="M43" s="139"/>
    </row>
    <row r="44" spans="1:13" s="163" customFormat="1" ht="15.75" hidden="1">
      <c r="A44" s="126"/>
      <c r="B44" s="137" t="s">
        <v>327</v>
      </c>
      <c r="C44" s="201">
        <f t="shared" si="9"/>
        <v>0</v>
      </c>
      <c r="D44" s="199"/>
      <c r="E44" s="199"/>
      <c r="F44" s="199">
        <f>G44+H44</f>
        <v>0</v>
      </c>
      <c r="G44" s="199"/>
      <c r="H44" s="199"/>
      <c r="I44" s="128"/>
      <c r="J44" s="128"/>
      <c r="K44" s="139"/>
      <c r="L44" s="139"/>
      <c r="M44" s="139"/>
    </row>
    <row r="45" spans="1:13" s="163" customFormat="1" ht="31.5" hidden="1">
      <c r="A45" s="126"/>
      <c r="B45" s="137" t="s">
        <v>499</v>
      </c>
      <c r="C45" s="201">
        <f t="shared" si="9"/>
        <v>218279000</v>
      </c>
      <c r="D45" s="201">
        <f>'[4]55-XDCB'!G187</f>
        <v>218279000</v>
      </c>
      <c r="E45" s="201"/>
      <c r="F45" s="201">
        <f>G45+H45</f>
        <v>24412000</v>
      </c>
      <c r="G45" s="201">
        <f>'[4]55-XDCB'!L187</f>
        <v>24412000</v>
      </c>
      <c r="H45" s="201"/>
      <c r="I45" s="128"/>
      <c r="J45" s="128"/>
      <c r="K45" s="139"/>
      <c r="L45" s="139"/>
      <c r="M45" s="139"/>
    </row>
    <row r="46" spans="1:13" s="163" customFormat="1" ht="15.75" hidden="1">
      <c r="A46" s="126"/>
      <c r="B46" s="137" t="s">
        <v>353</v>
      </c>
      <c r="C46" s="201"/>
      <c r="D46" s="201"/>
      <c r="E46" s="201">
        <f>'[5]CNguon (theo nguon)'!$C$16</f>
        <v>3560833349</v>
      </c>
      <c r="F46" s="201">
        <f>G46+H46</f>
        <v>3299646000</v>
      </c>
      <c r="G46" s="201"/>
      <c r="H46" s="201">
        <v>3299646000</v>
      </c>
      <c r="I46" s="128"/>
      <c r="J46" s="128"/>
      <c r="K46" s="139"/>
      <c r="L46" s="139"/>
      <c r="M46" s="139"/>
    </row>
    <row r="47" spans="1:13" s="163" customFormat="1" ht="15.75" hidden="1">
      <c r="A47" s="138" t="s">
        <v>31</v>
      </c>
      <c r="B47" s="124" t="s">
        <v>329</v>
      </c>
      <c r="C47" s="198">
        <f>+SUM(C48:C52)</f>
        <v>13029000000</v>
      </c>
      <c r="D47" s="198">
        <f>+SUM(D48:D52)</f>
        <v>13029000000</v>
      </c>
      <c r="E47" s="198">
        <f>+SUM(E48:E52)</f>
        <v>0</v>
      </c>
      <c r="F47" s="198">
        <f>+SUM(F48:F53)</f>
        <v>13029000000</v>
      </c>
      <c r="G47" s="198">
        <f>+SUM(G48:G53)</f>
        <v>13029000000</v>
      </c>
      <c r="H47" s="198">
        <f>+SUM(H48:H53)</f>
        <v>0</v>
      </c>
      <c r="I47" s="128"/>
      <c r="J47" s="128"/>
      <c r="K47" s="125">
        <f>(F47/C47)*100</f>
        <v>100</v>
      </c>
      <c r="L47" s="125">
        <f>(G47/D47)*100</f>
        <v>100</v>
      </c>
      <c r="M47" s="125"/>
    </row>
    <row r="48" spans="1:13" s="161" customFormat="1" ht="18" hidden="1">
      <c r="A48" s="126"/>
      <c r="B48" s="136" t="s">
        <v>326</v>
      </c>
      <c r="C48" s="201">
        <f t="shared" si="9"/>
        <v>13029000000</v>
      </c>
      <c r="D48" s="201">
        <f>'[4]55-XDCB'!H194</f>
        <v>13029000000</v>
      </c>
      <c r="E48" s="204"/>
      <c r="F48" s="201">
        <f>G48+H48</f>
        <v>13029000000</v>
      </c>
      <c r="G48" s="201">
        <f>'[4]55-XDCB'!L194</f>
        <v>13029000000</v>
      </c>
      <c r="H48" s="205"/>
      <c r="I48" s="141"/>
      <c r="J48" s="141"/>
      <c r="K48" s="139"/>
      <c r="L48" s="139"/>
      <c r="M48" s="139"/>
    </row>
    <row r="49" spans="1:13" s="161" customFormat="1" ht="18" hidden="1">
      <c r="A49" s="126"/>
      <c r="B49" s="136" t="s">
        <v>328</v>
      </c>
      <c r="C49" s="201">
        <f t="shared" si="9"/>
        <v>0</v>
      </c>
      <c r="D49" s="201"/>
      <c r="E49" s="201"/>
      <c r="F49" s="201">
        <f>G49+H49</f>
        <v>0</v>
      </c>
      <c r="G49" s="201"/>
      <c r="H49" s="201"/>
      <c r="I49" s="141"/>
      <c r="J49" s="141"/>
      <c r="K49" s="139"/>
      <c r="L49" s="139"/>
      <c r="M49" s="139"/>
    </row>
    <row r="50" spans="1:13" s="162" customFormat="1" ht="15.75" hidden="1">
      <c r="A50" s="126"/>
      <c r="B50" s="137" t="s">
        <v>500</v>
      </c>
      <c r="C50" s="199">
        <f>D50+E50</f>
        <v>0</v>
      </c>
      <c r="D50" s="201"/>
      <c r="E50" s="199"/>
      <c r="F50" s="199">
        <f>G50+H50</f>
        <v>0</v>
      </c>
      <c r="G50" s="201"/>
      <c r="H50" s="199"/>
      <c r="I50" s="128"/>
      <c r="J50" s="128"/>
      <c r="K50" s="139"/>
      <c r="L50" s="139"/>
      <c r="M50" s="139"/>
    </row>
    <row r="51" spans="1:13" s="163" customFormat="1" ht="31.5" hidden="1">
      <c r="A51" s="126"/>
      <c r="B51" s="137" t="s">
        <v>501</v>
      </c>
      <c r="C51" s="199">
        <f>D51+E51</f>
        <v>0</v>
      </c>
      <c r="D51" s="201"/>
      <c r="E51" s="206"/>
      <c r="F51" s="199">
        <f>G51+H51</f>
        <v>0</v>
      </c>
      <c r="G51" s="199"/>
      <c r="H51" s="199"/>
      <c r="I51" s="128"/>
      <c r="J51" s="128"/>
      <c r="K51" s="139"/>
      <c r="L51" s="139"/>
      <c r="M51" s="139"/>
    </row>
    <row r="52" spans="1:13" s="163" customFormat="1" ht="31.5" hidden="1">
      <c r="A52" s="126"/>
      <c r="B52" s="137" t="s">
        <v>332</v>
      </c>
      <c r="C52" s="199">
        <f t="shared" si="9"/>
        <v>0</v>
      </c>
      <c r="D52" s="201"/>
      <c r="E52" s="206"/>
      <c r="F52" s="199">
        <f>G52+H52</f>
        <v>0</v>
      </c>
      <c r="G52" s="199"/>
      <c r="H52" s="199"/>
      <c r="I52" s="128"/>
      <c r="J52" s="128"/>
      <c r="K52" s="139"/>
      <c r="L52" s="139"/>
      <c r="M52" s="139"/>
    </row>
    <row r="53" spans="1:13" s="163" customFormat="1" ht="15.75" hidden="1">
      <c r="A53" s="126"/>
      <c r="B53" s="137" t="s">
        <v>570</v>
      </c>
      <c r="C53" s="199"/>
      <c r="D53" s="201"/>
      <c r="E53" s="206"/>
      <c r="F53" s="199"/>
      <c r="G53" s="199"/>
      <c r="H53" s="201"/>
      <c r="I53" s="128"/>
      <c r="J53" s="128"/>
      <c r="K53" s="139"/>
      <c r="L53" s="139"/>
      <c r="M53" s="139"/>
    </row>
    <row r="54" spans="1:13" s="162" customFormat="1" ht="35.25" customHeight="1">
      <c r="A54" s="118" t="s">
        <v>322</v>
      </c>
      <c r="B54" s="124" t="s">
        <v>220</v>
      </c>
      <c r="C54" s="198">
        <f aca="true" t="shared" si="10" ref="C54:H54">C55+C59+C65</f>
        <v>89475112362</v>
      </c>
      <c r="D54" s="198">
        <f t="shared" si="10"/>
        <v>85032344062</v>
      </c>
      <c r="E54" s="198">
        <f t="shared" si="10"/>
        <v>4442768300</v>
      </c>
      <c r="F54" s="198">
        <f t="shared" si="10"/>
        <v>70905958062</v>
      </c>
      <c r="G54" s="198">
        <f t="shared" si="10"/>
        <v>67391669062</v>
      </c>
      <c r="H54" s="198">
        <f t="shared" si="10"/>
        <v>3514289000</v>
      </c>
      <c r="I54" s="116"/>
      <c r="J54" s="116"/>
      <c r="K54" s="125">
        <f>(F54/C54)*100</f>
        <v>79.24657057163272</v>
      </c>
      <c r="L54" s="125">
        <f>(G54/D54)*100</f>
        <v>79.25415887966398</v>
      </c>
      <c r="M54" s="125">
        <f>(H54/E54)*100</f>
        <v>79.10133418391412</v>
      </c>
    </row>
    <row r="55" spans="1:13" s="162" customFormat="1" ht="15.75" hidden="1">
      <c r="A55" s="138" t="s">
        <v>31</v>
      </c>
      <c r="B55" s="124" t="s">
        <v>564</v>
      </c>
      <c r="C55" s="198">
        <f aca="true" t="shared" si="11" ref="C55:H55">+SUM(C56:C58)</f>
        <v>51000000000</v>
      </c>
      <c r="D55" s="198">
        <f t="shared" si="11"/>
        <v>49211581000</v>
      </c>
      <c r="E55" s="198">
        <f t="shared" si="11"/>
        <v>1788419000</v>
      </c>
      <c r="F55" s="198">
        <f t="shared" si="11"/>
        <v>44152761000</v>
      </c>
      <c r="G55" s="198">
        <f t="shared" si="11"/>
        <v>42806289000</v>
      </c>
      <c r="H55" s="198">
        <f t="shared" si="11"/>
        <v>1346472000</v>
      </c>
      <c r="I55" s="116"/>
      <c r="J55" s="116"/>
      <c r="K55" s="125"/>
      <c r="L55" s="125"/>
      <c r="M55" s="125"/>
    </row>
    <row r="56" spans="1:13" s="162" customFormat="1" ht="15.75" hidden="1">
      <c r="A56" s="130"/>
      <c r="B56" s="136" t="s">
        <v>333</v>
      </c>
      <c r="C56" s="201">
        <f>D56+E56</f>
        <v>49207000000</v>
      </c>
      <c r="D56" s="201">
        <f>'[4]55-XDCB'!I200-'[4]55-XDCB'!I213</f>
        <v>49207000000</v>
      </c>
      <c r="E56" s="201"/>
      <c r="F56" s="201">
        <f>G56+H56</f>
        <v>42806289000</v>
      </c>
      <c r="G56" s="201">
        <f>'[4]55-XDCB'!L200</f>
        <v>42806289000</v>
      </c>
      <c r="H56" s="201"/>
      <c r="I56" s="132"/>
      <c r="J56" s="132"/>
      <c r="K56" s="129">
        <f>(F56/C56)*100</f>
        <v>86.99227548925967</v>
      </c>
      <c r="L56" s="129">
        <f>(G56/D56)*100</f>
        <v>86.99227548925967</v>
      </c>
      <c r="M56" s="129"/>
    </row>
    <row r="57" spans="1:13" s="162" customFormat="1" ht="33.75" customHeight="1" hidden="1">
      <c r="A57" s="126"/>
      <c r="B57" s="136" t="s">
        <v>571</v>
      </c>
      <c r="C57" s="199">
        <f>+D57+E57</f>
        <v>1793000000</v>
      </c>
      <c r="D57" s="201">
        <v>4581000</v>
      </c>
      <c r="E57" s="201">
        <f>1606166000+182253000</f>
        <v>1788419000</v>
      </c>
      <c r="F57" s="201">
        <f>+G57+H57</f>
        <v>1346472000</v>
      </c>
      <c r="G57" s="201"/>
      <c r="H57" s="201">
        <v>1346472000</v>
      </c>
      <c r="I57" s="128"/>
      <c r="J57" s="128"/>
      <c r="K57" s="139"/>
      <c r="L57" s="139"/>
      <c r="M57" s="139"/>
    </row>
    <row r="58" spans="1:13" s="162" customFormat="1" ht="38.25" customHeight="1" hidden="1">
      <c r="A58" s="126"/>
      <c r="B58" s="136" t="s">
        <v>330</v>
      </c>
      <c r="C58" s="199">
        <f>+D58+E58</f>
        <v>0</v>
      </c>
      <c r="D58" s="199"/>
      <c r="E58" s="201"/>
      <c r="F58" s="199">
        <f>+G58+H58</f>
        <v>0</v>
      </c>
      <c r="G58" s="199"/>
      <c r="H58" s="201"/>
      <c r="I58" s="128"/>
      <c r="J58" s="128"/>
      <c r="K58" s="139"/>
      <c r="L58" s="139"/>
      <c r="M58" s="139"/>
    </row>
    <row r="59" spans="1:13" s="162" customFormat="1" ht="15.75" hidden="1">
      <c r="A59" s="118"/>
      <c r="B59" s="124" t="s">
        <v>566</v>
      </c>
      <c r="C59" s="198">
        <f>D59+E59</f>
        <v>25474112362</v>
      </c>
      <c r="D59" s="198">
        <f>SUM(D60:D64)</f>
        <v>22819763062</v>
      </c>
      <c r="E59" s="198">
        <f>SUM(E60:E64)</f>
        <v>2654349300</v>
      </c>
      <c r="F59" s="198">
        <f>SUM(F60:F64)</f>
        <v>21032709062</v>
      </c>
      <c r="G59" s="198">
        <f>SUM(G60:G64)</f>
        <v>18864892062</v>
      </c>
      <c r="H59" s="198">
        <f>SUM(H60:H64)</f>
        <v>2167817000</v>
      </c>
      <c r="I59" s="132"/>
      <c r="J59" s="132"/>
      <c r="K59" s="125">
        <f>(F59/C59)*100</f>
        <v>82.56503215152145</v>
      </c>
      <c r="L59" s="125">
        <f>(G59/D59)*100</f>
        <v>82.66909700484251</v>
      </c>
      <c r="M59" s="125"/>
    </row>
    <row r="60" spans="1:13" s="162" customFormat="1" ht="15.75" hidden="1">
      <c r="A60" s="130"/>
      <c r="B60" s="136" t="s">
        <v>333</v>
      </c>
      <c r="C60" s="201">
        <f>D60+E60</f>
        <v>22819763062</v>
      </c>
      <c r="D60" s="201">
        <f>'[4]55-XDCB'!G214</f>
        <v>22819763062</v>
      </c>
      <c r="E60" s="201"/>
      <c r="F60" s="201">
        <f>G60+H60</f>
        <v>18864892062</v>
      </c>
      <c r="G60" s="201">
        <f>'[4]55-XDCB'!L214</f>
        <v>18864892062</v>
      </c>
      <c r="H60" s="201"/>
      <c r="I60" s="132"/>
      <c r="J60" s="132"/>
      <c r="K60" s="129"/>
      <c r="L60" s="129"/>
      <c r="M60" s="129"/>
    </row>
    <row r="61" spans="1:13" s="162" customFormat="1" ht="15.75" hidden="1">
      <c r="A61" s="130"/>
      <c r="B61" s="136" t="s">
        <v>502</v>
      </c>
      <c r="C61" s="201">
        <f>D61+E61</f>
        <v>0</v>
      </c>
      <c r="D61" s="201"/>
      <c r="E61" s="201"/>
      <c r="F61" s="201">
        <f>G61+H61</f>
        <v>0</v>
      </c>
      <c r="G61" s="201"/>
      <c r="H61" s="201"/>
      <c r="I61" s="132"/>
      <c r="J61" s="132"/>
      <c r="K61" s="129"/>
      <c r="L61" s="129"/>
      <c r="M61" s="129"/>
    </row>
    <row r="62" spans="1:13" s="162" customFormat="1" ht="15.75" hidden="1">
      <c r="A62" s="130"/>
      <c r="B62" s="136" t="s">
        <v>503</v>
      </c>
      <c r="C62" s="201">
        <f>D62+E62</f>
        <v>0</v>
      </c>
      <c r="D62" s="201"/>
      <c r="E62" s="201"/>
      <c r="F62" s="201">
        <f>G62+H62</f>
        <v>0</v>
      </c>
      <c r="G62" s="201"/>
      <c r="H62" s="201"/>
      <c r="I62" s="132"/>
      <c r="J62" s="132"/>
      <c r="K62" s="129"/>
      <c r="L62" s="129"/>
      <c r="M62" s="129"/>
    </row>
    <row r="63" spans="1:13" s="162" customFormat="1" ht="15.75" hidden="1">
      <c r="A63" s="130"/>
      <c r="B63" s="136" t="s">
        <v>325</v>
      </c>
      <c r="C63" s="201">
        <f>D63+E63</f>
        <v>0</v>
      </c>
      <c r="D63" s="201"/>
      <c r="E63" s="201"/>
      <c r="F63" s="201">
        <f>G63+H63</f>
        <v>0</v>
      </c>
      <c r="G63" s="201"/>
      <c r="H63" s="201"/>
      <c r="I63" s="132"/>
      <c r="J63" s="132"/>
      <c r="K63" s="129"/>
      <c r="L63" s="129"/>
      <c r="M63" s="129"/>
    </row>
    <row r="64" spans="1:13" s="162" customFormat="1" ht="15.75" hidden="1">
      <c r="A64" s="130"/>
      <c r="B64" s="137" t="s">
        <v>353</v>
      </c>
      <c r="C64" s="201"/>
      <c r="D64" s="201"/>
      <c r="E64" s="201">
        <f>'[5]CNguon (theo nguon)'!$C$19</f>
        <v>2654349300</v>
      </c>
      <c r="F64" s="201">
        <f>G64+H64</f>
        <v>2167817000</v>
      </c>
      <c r="G64" s="201"/>
      <c r="H64" s="201">
        <v>2167817000</v>
      </c>
      <c r="I64" s="132"/>
      <c r="J64" s="132"/>
      <c r="K64" s="129"/>
      <c r="L64" s="129"/>
      <c r="M64" s="129"/>
    </row>
    <row r="65" spans="1:13" s="162" customFormat="1" ht="15.75" hidden="1">
      <c r="A65" s="118"/>
      <c r="B65" s="124" t="s">
        <v>329</v>
      </c>
      <c r="C65" s="198">
        <f>SUM(C66:C69)</f>
        <v>13001000000</v>
      </c>
      <c r="D65" s="198">
        <f>SUM(D66:D69)</f>
        <v>13001000000</v>
      </c>
      <c r="E65" s="198">
        <f>SUM(E66:E69)</f>
        <v>0</v>
      </c>
      <c r="F65" s="198">
        <f>SUM(F66:F70)</f>
        <v>5720488000</v>
      </c>
      <c r="G65" s="198">
        <f>SUM(G66:G70)</f>
        <v>5720488000</v>
      </c>
      <c r="H65" s="198">
        <f>SUM(H66:I70)</f>
        <v>0</v>
      </c>
      <c r="I65" s="132"/>
      <c r="J65" s="132"/>
      <c r="K65" s="125">
        <f>(F65/C65)*100</f>
        <v>44.00036920236905</v>
      </c>
      <c r="L65" s="125">
        <f>(G65/D65)*100</f>
        <v>44.00036920236905</v>
      </c>
      <c r="M65" s="125"/>
    </row>
    <row r="66" spans="1:13" s="162" customFormat="1" ht="15.75" hidden="1">
      <c r="A66" s="130"/>
      <c r="B66" s="136" t="s">
        <v>333</v>
      </c>
      <c r="C66" s="201">
        <f>+D66+E66</f>
        <v>13001000000</v>
      </c>
      <c r="D66" s="201">
        <f>'[4]55-XDCB'!H227</f>
        <v>13001000000</v>
      </c>
      <c r="E66" s="201"/>
      <c r="F66" s="201">
        <f>+G66+H66</f>
        <v>5720488000</v>
      </c>
      <c r="G66" s="201">
        <f>'[4]55-XDCB'!L227</f>
        <v>5720488000</v>
      </c>
      <c r="H66" s="201"/>
      <c r="I66" s="132"/>
      <c r="J66" s="132"/>
      <c r="K66" s="129"/>
      <c r="L66" s="129"/>
      <c r="M66" s="129"/>
    </row>
    <row r="67" spans="1:13" s="162" customFormat="1" ht="15.75" hidden="1">
      <c r="A67" s="130"/>
      <c r="B67" s="136" t="s">
        <v>503</v>
      </c>
      <c r="C67" s="201">
        <f>+D67+E67</f>
        <v>0</v>
      </c>
      <c r="D67" s="201"/>
      <c r="E67" s="201"/>
      <c r="F67" s="201">
        <f>+G67+H67</f>
        <v>0</v>
      </c>
      <c r="G67" s="201"/>
      <c r="H67" s="201"/>
      <c r="I67" s="132"/>
      <c r="J67" s="132"/>
      <c r="K67" s="129"/>
      <c r="L67" s="129"/>
      <c r="M67" s="129"/>
    </row>
    <row r="68" spans="1:13" ht="15.75" hidden="1">
      <c r="A68" s="130"/>
      <c r="B68" s="136" t="s">
        <v>504</v>
      </c>
      <c r="C68" s="201">
        <f>+D68+E68</f>
        <v>0</v>
      </c>
      <c r="D68" s="201"/>
      <c r="E68" s="201"/>
      <c r="F68" s="201">
        <f>+G68+H68</f>
        <v>0</v>
      </c>
      <c r="G68" s="201"/>
      <c r="H68" s="201"/>
      <c r="I68" s="132"/>
      <c r="J68" s="132"/>
      <c r="K68" s="129"/>
      <c r="L68" s="129"/>
      <c r="M68" s="129"/>
    </row>
    <row r="69" spans="1:13" s="164" customFormat="1" ht="15.75" hidden="1">
      <c r="A69" s="130"/>
      <c r="B69" s="136" t="s">
        <v>325</v>
      </c>
      <c r="C69" s="201">
        <f>+D69+E69</f>
        <v>0</v>
      </c>
      <c r="D69" s="201"/>
      <c r="E69" s="201"/>
      <c r="F69" s="201">
        <f>+G69+H69</f>
        <v>0</v>
      </c>
      <c r="G69" s="201"/>
      <c r="H69" s="201"/>
      <c r="I69" s="132"/>
      <c r="J69" s="132"/>
      <c r="K69" s="129"/>
      <c r="L69" s="129"/>
      <c r="M69" s="129"/>
    </row>
    <row r="70" spans="1:13" s="164" customFormat="1" ht="15.75" hidden="1">
      <c r="A70" s="130"/>
      <c r="B70" s="136" t="s">
        <v>570</v>
      </c>
      <c r="C70" s="201"/>
      <c r="D70" s="201"/>
      <c r="E70" s="201"/>
      <c r="F70" s="201">
        <f>+G70+H70</f>
        <v>0</v>
      </c>
      <c r="G70" s="201"/>
      <c r="H70" s="201"/>
      <c r="I70" s="132"/>
      <c r="J70" s="132"/>
      <c r="K70" s="129"/>
      <c r="L70" s="129"/>
      <c r="M70" s="129"/>
    </row>
    <row r="71" spans="1:13" ht="69.75" customHeight="1">
      <c r="A71" s="118" t="s">
        <v>146</v>
      </c>
      <c r="B71" s="142" t="s">
        <v>506</v>
      </c>
      <c r="C71" s="201"/>
      <c r="D71" s="201"/>
      <c r="E71" s="198"/>
      <c r="F71" s="198"/>
      <c r="G71" s="201"/>
      <c r="H71" s="198"/>
      <c r="I71" s="132"/>
      <c r="J71" s="132"/>
      <c r="K71" s="129"/>
      <c r="L71" s="129"/>
      <c r="M71" s="129"/>
    </row>
    <row r="72" spans="1:13" ht="42.75" customHeight="1">
      <c r="A72" s="118" t="s">
        <v>507</v>
      </c>
      <c r="B72" s="124" t="s">
        <v>354</v>
      </c>
      <c r="C72" s="198">
        <f>D72+E72</f>
        <v>5654000000</v>
      </c>
      <c r="D72" s="198"/>
      <c r="E72" s="198">
        <v>5654000000</v>
      </c>
      <c r="F72" s="198">
        <f>G72+H72</f>
        <v>4773749000</v>
      </c>
      <c r="G72" s="198"/>
      <c r="H72" s="198">
        <f>14676249000-H18-H36-H54</f>
        <v>4773749000</v>
      </c>
      <c r="I72" s="132"/>
      <c r="J72" s="143"/>
      <c r="K72" s="125"/>
      <c r="L72" s="125"/>
      <c r="M72" s="125"/>
    </row>
    <row r="73" spans="1:13" ht="89.25" customHeight="1" hidden="1">
      <c r="A73" s="130">
        <v>1</v>
      </c>
      <c r="B73" s="131" t="s">
        <v>222</v>
      </c>
      <c r="C73" s="201"/>
      <c r="D73" s="201"/>
      <c r="E73" s="201"/>
      <c r="F73" s="201">
        <f>G73+H73</f>
        <v>0</v>
      </c>
      <c r="G73" s="201"/>
      <c r="H73" s="201"/>
      <c r="I73" s="132"/>
      <c r="J73" s="132"/>
      <c r="K73" s="144"/>
      <c r="L73" s="144"/>
      <c r="M73" s="144"/>
    </row>
    <row r="74" spans="1:13" ht="42.75" customHeight="1" hidden="1">
      <c r="A74" s="130">
        <v>2</v>
      </c>
      <c r="B74" s="131" t="s">
        <v>508</v>
      </c>
      <c r="C74" s="201">
        <f>+SUM(D74:D74)</f>
        <v>0</v>
      </c>
      <c r="D74" s="201">
        <v>0</v>
      </c>
      <c r="E74" s="201"/>
      <c r="F74" s="201"/>
      <c r="G74" s="201"/>
      <c r="H74" s="199"/>
      <c r="I74" s="128"/>
      <c r="J74" s="128"/>
      <c r="K74" s="144"/>
      <c r="L74" s="144"/>
      <c r="M74" s="144"/>
    </row>
    <row r="75" spans="1:13" ht="27.75" customHeight="1">
      <c r="A75" s="145" t="s">
        <v>14</v>
      </c>
      <c r="B75" s="146" t="s">
        <v>15</v>
      </c>
      <c r="C75" s="198">
        <f>C77+C80+C81+C82+C83+C84+C85+C86+C87+C88+C89+C90+C91</f>
        <v>851130360398</v>
      </c>
      <c r="D75" s="198">
        <f>+SUM(D80:D91)+D77</f>
        <v>618355000000</v>
      </c>
      <c r="E75" s="198">
        <f>+SUM(E80:E91)+E77</f>
        <v>232775360398</v>
      </c>
      <c r="F75" s="198">
        <f>G75+H75</f>
        <v>796042514698</v>
      </c>
      <c r="G75" s="198">
        <f>+SUM(G78:G91)-G99</f>
        <v>564114335611</v>
      </c>
      <c r="H75" s="198">
        <f>+SUM(H78:H91)</f>
        <v>231928179087</v>
      </c>
      <c r="I75" s="116"/>
      <c r="J75" s="116"/>
      <c r="K75" s="123">
        <f>(F75/C75)*100</f>
        <v>93.52768409362812</v>
      </c>
      <c r="L75" s="123">
        <f>(G75/D75)*100</f>
        <v>91.22823226318215</v>
      </c>
      <c r="M75" s="123">
        <f>(H75/E75)*100</f>
        <v>99.63605198181136</v>
      </c>
    </row>
    <row r="76" spans="1:13" ht="27.75" customHeight="1">
      <c r="A76" s="147"/>
      <c r="B76" s="148" t="s">
        <v>16</v>
      </c>
      <c r="C76" s="201"/>
      <c r="D76" s="201"/>
      <c r="E76" s="201"/>
      <c r="F76" s="199"/>
      <c r="G76" s="199"/>
      <c r="H76" s="201"/>
      <c r="I76" s="132"/>
      <c r="J76" s="132"/>
      <c r="K76" s="144"/>
      <c r="L76" s="144"/>
      <c r="M76" s="144"/>
    </row>
    <row r="77" spans="1:13" ht="30" customHeight="1">
      <c r="A77" s="147">
        <v>1</v>
      </c>
      <c r="B77" s="149" t="s">
        <v>355</v>
      </c>
      <c r="C77" s="201">
        <f>D77+E77</f>
        <v>43594728000</v>
      </c>
      <c r="D77" s="201">
        <f>D78+D79</f>
        <v>17789000000</v>
      </c>
      <c r="E77" s="201">
        <f>E78+E79</f>
        <v>25805728000</v>
      </c>
      <c r="F77" s="201">
        <f>G77+H77</f>
        <v>49940545521</v>
      </c>
      <c r="G77" s="201">
        <f>G78+G79</f>
        <v>25446678964</v>
      </c>
      <c r="H77" s="201">
        <f>H78+H79</f>
        <v>24493866557</v>
      </c>
      <c r="I77" s="132"/>
      <c r="J77" s="132"/>
      <c r="K77" s="144">
        <f aca="true" t="shared" si="12" ref="K77:M91">(F77/C77)*100</f>
        <v>114.55638746272257</v>
      </c>
      <c r="L77" s="144">
        <f t="shared" si="12"/>
        <v>143.04727058294452</v>
      </c>
      <c r="M77" s="144">
        <f t="shared" si="12"/>
        <v>94.91639436407297</v>
      </c>
    </row>
    <row r="78" spans="1:13" s="165" customFormat="1" ht="30" customHeight="1">
      <c r="A78" s="150"/>
      <c r="B78" s="148" t="s">
        <v>356</v>
      </c>
      <c r="C78" s="199">
        <f aca="true" t="shared" si="13" ref="C78:C103">D78+E78</f>
        <v>32420728000</v>
      </c>
      <c r="D78" s="199">
        <f>'[6]62 '!$F$32</f>
        <v>15045000000</v>
      </c>
      <c r="E78" s="199">
        <f>'[6]62 '!$J$32</f>
        <v>17375728000</v>
      </c>
      <c r="F78" s="201">
        <f aca="true" t="shared" si="14" ref="F78:F91">G78+H78</f>
        <v>38848248373</v>
      </c>
      <c r="G78" s="199">
        <f>'[6]62 '!$O$32</f>
        <v>20576548964</v>
      </c>
      <c r="H78" s="199">
        <f>'[6]62 '!$P$32</f>
        <v>18271699409</v>
      </c>
      <c r="I78" s="128"/>
      <c r="J78" s="128"/>
      <c r="K78" s="144">
        <f t="shared" si="12"/>
        <v>119.82534251852704</v>
      </c>
      <c r="L78" s="144">
        <f t="shared" si="12"/>
        <v>136.76669301429044</v>
      </c>
      <c r="M78" s="144">
        <f t="shared" si="12"/>
        <v>105.1564539281462</v>
      </c>
    </row>
    <row r="79" spans="1:13" s="165" customFormat="1" ht="30" customHeight="1">
      <c r="A79" s="150"/>
      <c r="B79" s="148" t="s">
        <v>357</v>
      </c>
      <c r="C79" s="199">
        <f t="shared" si="13"/>
        <v>11174000000</v>
      </c>
      <c r="D79" s="199">
        <f>'[6]62 '!$F$33</f>
        <v>2744000000</v>
      </c>
      <c r="E79" s="199">
        <f>'[6]62 '!$J$33</f>
        <v>8430000000</v>
      </c>
      <c r="F79" s="201">
        <f t="shared" si="14"/>
        <v>11092297148</v>
      </c>
      <c r="G79" s="199">
        <f>'[6]62 '!$O$33</f>
        <v>4870130000</v>
      </c>
      <c r="H79" s="199">
        <f>'[6]62 '!$P$33</f>
        <v>6222167148</v>
      </c>
      <c r="I79" s="128"/>
      <c r="J79" s="128"/>
      <c r="K79" s="144">
        <f t="shared" si="12"/>
        <v>99.26881285126186</v>
      </c>
      <c r="L79" s="144">
        <f t="shared" si="12"/>
        <v>177.4828717201166</v>
      </c>
      <c r="M79" s="144">
        <f t="shared" si="12"/>
        <v>73.80981195729537</v>
      </c>
    </row>
    <row r="80" spans="1:13" ht="30" customHeight="1">
      <c r="A80" s="147">
        <v>2</v>
      </c>
      <c r="B80" s="149" t="s">
        <v>100</v>
      </c>
      <c r="C80" s="201">
        <f t="shared" si="13"/>
        <v>261304000000</v>
      </c>
      <c r="D80" s="201">
        <f>'[6]62 '!$F$34</f>
        <v>261304000000</v>
      </c>
      <c r="E80" s="201"/>
      <c r="F80" s="201">
        <f t="shared" si="14"/>
        <v>245038826491</v>
      </c>
      <c r="G80" s="201">
        <f>'[6]62 '!$O$34</f>
        <v>245038826491</v>
      </c>
      <c r="H80" s="201"/>
      <c r="I80" s="132"/>
      <c r="J80" s="132"/>
      <c r="K80" s="144">
        <f t="shared" si="12"/>
        <v>93.77538288392064</v>
      </c>
      <c r="L80" s="144">
        <f t="shared" si="12"/>
        <v>93.77538288392064</v>
      </c>
      <c r="M80" s="144"/>
    </row>
    <row r="81" spans="1:13" ht="30" customHeight="1">
      <c r="A81" s="147">
        <v>3</v>
      </c>
      <c r="B81" s="149" t="s">
        <v>358</v>
      </c>
      <c r="C81" s="201">
        <f t="shared" si="13"/>
        <v>100000000</v>
      </c>
      <c r="D81" s="201">
        <f>'[6]62 '!$F$39</f>
        <v>100000000</v>
      </c>
      <c r="E81" s="201"/>
      <c r="F81" s="201">
        <f t="shared" si="14"/>
        <v>0</v>
      </c>
      <c r="G81" s="201"/>
      <c r="H81" s="201"/>
      <c r="I81" s="132"/>
      <c r="J81" s="132"/>
      <c r="K81" s="144">
        <f t="shared" si="12"/>
        <v>0</v>
      </c>
      <c r="L81" s="144">
        <f t="shared" si="12"/>
        <v>0</v>
      </c>
      <c r="M81" s="144"/>
    </row>
    <row r="82" spans="1:13" ht="30" customHeight="1">
      <c r="A82" s="147">
        <v>4</v>
      </c>
      <c r="B82" s="149" t="s">
        <v>359</v>
      </c>
      <c r="C82" s="201">
        <f t="shared" si="13"/>
        <v>4500000000</v>
      </c>
      <c r="D82" s="201">
        <f>'[6]62 '!$F$40</f>
        <v>4500000000</v>
      </c>
      <c r="E82" s="201"/>
      <c r="F82" s="201">
        <f t="shared" si="14"/>
        <v>26598842896</v>
      </c>
      <c r="G82" s="201">
        <f>'[6]62 '!$O$40</f>
        <v>26596842896</v>
      </c>
      <c r="H82" s="201">
        <f>'[6]62 '!$P$40</f>
        <v>2000000</v>
      </c>
      <c r="I82" s="132"/>
      <c r="J82" s="132"/>
      <c r="K82" s="144">
        <f t="shared" si="12"/>
        <v>591.085397688889</v>
      </c>
      <c r="L82" s="144">
        <f t="shared" si="12"/>
        <v>591.0409532444445</v>
      </c>
      <c r="M82" s="144"/>
    </row>
    <row r="83" spans="1:13" ht="30" customHeight="1">
      <c r="A83" s="147">
        <v>5</v>
      </c>
      <c r="B83" s="149" t="s">
        <v>360</v>
      </c>
      <c r="C83" s="201">
        <f t="shared" si="13"/>
        <v>13133135500</v>
      </c>
      <c r="D83" s="201">
        <f>'[6]62 '!$F$41</f>
        <v>12177000000</v>
      </c>
      <c r="E83" s="201">
        <f>'[6]62 '!$J$41</f>
        <v>956135500</v>
      </c>
      <c r="F83" s="201">
        <f t="shared" si="14"/>
        <v>8393872955</v>
      </c>
      <c r="G83" s="201">
        <f>'[6]62 '!$O$41</f>
        <v>5786261525</v>
      </c>
      <c r="H83" s="201">
        <f>'[6]62 '!$P$41</f>
        <v>2607611430</v>
      </c>
      <c r="I83" s="132"/>
      <c r="J83" s="132"/>
      <c r="K83" s="144">
        <f t="shared" si="12"/>
        <v>63.91370099699345</v>
      </c>
      <c r="L83" s="144">
        <f t="shared" si="12"/>
        <v>47.51795618789521</v>
      </c>
      <c r="M83" s="144">
        <f>(H83/E83)*100</f>
        <v>272.7240469577795</v>
      </c>
    </row>
    <row r="84" spans="1:13" ht="30" customHeight="1">
      <c r="A84" s="147">
        <v>6</v>
      </c>
      <c r="B84" s="149" t="s">
        <v>361</v>
      </c>
      <c r="C84" s="201">
        <f t="shared" si="13"/>
        <v>5509000000</v>
      </c>
      <c r="D84" s="201">
        <f>'[6]62 '!$F$43</f>
        <v>5076000000</v>
      </c>
      <c r="E84" s="207">
        <f>'[6]62 '!$J$43</f>
        <v>433000000</v>
      </c>
      <c r="F84" s="201">
        <f t="shared" si="14"/>
        <v>6250072873</v>
      </c>
      <c r="G84" s="201">
        <f>'[6]62 '!$O$43</f>
        <v>5216552000</v>
      </c>
      <c r="H84" s="201">
        <f>'[6]62 '!$P$43</f>
        <v>1033520873</v>
      </c>
      <c r="I84" s="132"/>
      <c r="J84" s="132"/>
      <c r="K84" s="144">
        <f t="shared" si="12"/>
        <v>113.45203980758758</v>
      </c>
      <c r="L84" s="144">
        <f t="shared" si="12"/>
        <v>102.76895193065405</v>
      </c>
      <c r="M84" s="144">
        <f>(H84/E84)*100</f>
        <v>238.68842332563509</v>
      </c>
    </row>
    <row r="85" spans="1:13" ht="30" customHeight="1">
      <c r="A85" s="147">
        <v>7</v>
      </c>
      <c r="B85" s="149" t="s">
        <v>362</v>
      </c>
      <c r="C85" s="201">
        <f t="shared" si="13"/>
        <v>1527000000</v>
      </c>
      <c r="D85" s="201">
        <f>'[6]62 '!$F$42</f>
        <v>1040000000</v>
      </c>
      <c r="E85" s="201">
        <f>'[6]62 '!$J$42</f>
        <v>487000000</v>
      </c>
      <c r="F85" s="201">
        <f t="shared" si="14"/>
        <v>1641566852</v>
      </c>
      <c r="G85" s="201">
        <f>'[6]62 '!$O$42</f>
        <v>954586352</v>
      </c>
      <c r="H85" s="201">
        <f>'[6]62 '!$P$42</f>
        <v>686980500</v>
      </c>
      <c r="I85" s="132"/>
      <c r="J85" s="132"/>
      <c r="K85" s="144">
        <f t="shared" si="12"/>
        <v>107.50274079895219</v>
      </c>
      <c r="L85" s="144">
        <f t="shared" si="12"/>
        <v>91.78714923076923</v>
      </c>
      <c r="M85" s="144"/>
    </row>
    <row r="86" spans="1:13" ht="30" customHeight="1">
      <c r="A86" s="147">
        <v>8</v>
      </c>
      <c r="B86" s="149" t="s">
        <v>363</v>
      </c>
      <c r="C86" s="201">
        <f t="shared" si="13"/>
        <v>31338000000</v>
      </c>
      <c r="D86" s="201">
        <f>'[6]62 '!$F$44</f>
        <v>30192000000</v>
      </c>
      <c r="E86" s="201">
        <f>'[6]62 '!$J$44</f>
        <v>1146000000</v>
      </c>
      <c r="F86" s="201">
        <f t="shared" si="14"/>
        <v>31482223533</v>
      </c>
      <c r="G86" s="201">
        <f>'[6]62 '!$O$44</f>
        <v>30246114853</v>
      </c>
      <c r="H86" s="201">
        <f>'[6]62 '!$P$44</f>
        <v>1236108680</v>
      </c>
      <c r="I86" s="132"/>
      <c r="J86" s="132"/>
      <c r="K86" s="144">
        <f t="shared" si="12"/>
        <v>100.46021932797242</v>
      </c>
      <c r="L86" s="144">
        <f t="shared" si="12"/>
        <v>100.1792357346317</v>
      </c>
      <c r="M86" s="144">
        <f>(H86/E86)*100</f>
        <v>107.86288656195462</v>
      </c>
    </row>
    <row r="87" spans="1:13" ht="30" customHeight="1">
      <c r="A87" s="147">
        <v>9</v>
      </c>
      <c r="B87" s="149" t="s">
        <v>217</v>
      </c>
      <c r="C87" s="201">
        <f t="shared" si="13"/>
        <v>138454056300</v>
      </c>
      <c r="D87" s="201">
        <f>'[6]62 '!$F$45</f>
        <v>114041000000</v>
      </c>
      <c r="E87" s="201">
        <f>'[6]62 '!$J$45</f>
        <v>24413056300</v>
      </c>
      <c r="F87" s="201">
        <f t="shared" si="14"/>
        <v>104728822718</v>
      </c>
      <c r="G87" s="201">
        <f>'[6]62 '!$O$45</f>
        <v>79613046613</v>
      </c>
      <c r="H87" s="201">
        <f>'[6]62 '!$P$45</f>
        <v>25115776105</v>
      </c>
      <c r="I87" s="132"/>
      <c r="J87" s="132"/>
      <c r="K87" s="144">
        <f t="shared" si="12"/>
        <v>75.64157058069523</v>
      </c>
      <c r="L87" s="144">
        <f t="shared" si="12"/>
        <v>69.81089837251515</v>
      </c>
      <c r="M87" s="144">
        <f>(H87/E87)*100</f>
        <v>102.87845895394916</v>
      </c>
    </row>
    <row r="88" spans="1:13" ht="38.25" customHeight="1">
      <c r="A88" s="147">
        <v>10</v>
      </c>
      <c r="B88" s="149" t="s">
        <v>364</v>
      </c>
      <c r="C88" s="201">
        <f t="shared" si="13"/>
        <v>175074240598</v>
      </c>
      <c r="D88" s="201">
        <f>'[6]62 '!$F$56</f>
        <v>95554000000</v>
      </c>
      <c r="E88" s="201">
        <f>'[6]62 '!$J$56</f>
        <v>79520240598</v>
      </c>
      <c r="F88" s="201">
        <f t="shared" si="14"/>
        <v>134006632693</v>
      </c>
      <c r="G88" s="201">
        <f>'[6]62 '!$O$56</f>
        <v>50748920977</v>
      </c>
      <c r="H88" s="201">
        <f>'[6]62 '!$P$56</f>
        <v>83257711716</v>
      </c>
      <c r="I88" s="132"/>
      <c r="J88" s="132"/>
      <c r="K88" s="144">
        <f t="shared" si="12"/>
        <v>76.5427468000286</v>
      </c>
      <c r="L88" s="144">
        <f t="shared" si="12"/>
        <v>53.110200490821946</v>
      </c>
      <c r="M88" s="144">
        <f>(H88/E88)*100</f>
        <v>104.70002491176315</v>
      </c>
    </row>
    <row r="89" spans="1:13" ht="30" customHeight="1">
      <c r="A89" s="147">
        <v>11</v>
      </c>
      <c r="B89" s="149" t="s">
        <v>365</v>
      </c>
      <c r="C89" s="201">
        <f t="shared" si="13"/>
        <v>127006200000</v>
      </c>
      <c r="D89" s="201">
        <f>'[6]62 '!$F$61</f>
        <v>37806000000</v>
      </c>
      <c r="E89" s="201">
        <f>'[6]62 '!$J$61</f>
        <v>89200200000</v>
      </c>
      <c r="F89" s="201">
        <f t="shared" si="14"/>
        <v>187219946166</v>
      </c>
      <c r="G89" s="201">
        <f>'[6]62 '!$O$61</f>
        <v>93725342940</v>
      </c>
      <c r="H89" s="201">
        <f>'[6]62 '!$P$61</f>
        <v>93494603226</v>
      </c>
      <c r="I89" s="132"/>
      <c r="J89" s="132"/>
      <c r="K89" s="144">
        <f t="shared" si="12"/>
        <v>147.41008404786538</v>
      </c>
      <c r="L89" s="144">
        <f t="shared" si="12"/>
        <v>247.91129169973019</v>
      </c>
      <c r="M89" s="144">
        <f>(H89/E89)*100</f>
        <v>104.81434259788655</v>
      </c>
    </row>
    <row r="90" spans="1:13" ht="30" customHeight="1">
      <c r="A90" s="147">
        <v>12</v>
      </c>
      <c r="B90" s="149" t="s">
        <v>185</v>
      </c>
      <c r="C90" s="201">
        <f t="shared" si="13"/>
        <v>33490000000</v>
      </c>
      <c r="D90" s="201">
        <f>'[6]62 '!$F$62</f>
        <v>24890000000</v>
      </c>
      <c r="E90" s="201">
        <f>'[6]62 '!$J$62</f>
        <v>8600000000</v>
      </c>
      <c r="F90" s="201">
        <f t="shared" si="14"/>
        <v>741162000</v>
      </c>
      <c r="G90" s="201">
        <f>'[6]62 '!$O$62</f>
        <v>741162000</v>
      </c>
      <c r="H90" s="201"/>
      <c r="I90" s="132"/>
      <c r="J90" s="132"/>
      <c r="K90" s="144">
        <f t="shared" si="12"/>
        <v>2.2130845028366677</v>
      </c>
      <c r="L90" s="144">
        <f t="shared" si="12"/>
        <v>2.9777501004419444</v>
      </c>
      <c r="M90" s="144">
        <f>(H90/E90)*100</f>
        <v>0</v>
      </c>
    </row>
    <row r="91" spans="1:13" ht="30" customHeight="1">
      <c r="A91" s="147">
        <v>13</v>
      </c>
      <c r="B91" s="151" t="s">
        <v>367</v>
      </c>
      <c r="C91" s="201">
        <f t="shared" si="13"/>
        <v>16100000000</v>
      </c>
      <c r="D91" s="201">
        <f>'[6]62 '!$F$63</f>
        <v>13886000000</v>
      </c>
      <c r="E91" s="201">
        <f>'[6]62 '!$J$63</f>
        <v>2214000000</v>
      </c>
      <c r="F91" s="201">
        <f t="shared" si="14"/>
        <v>0</v>
      </c>
      <c r="G91" s="201"/>
      <c r="H91" s="201"/>
      <c r="I91" s="132"/>
      <c r="J91" s="132"/>
      <c r="K91" s="144">
        <f t="shared" si="12"/>
        <v>0</v>
      </c>
      <c r="L91" s="144">
        <f t="shared" si="12"/>
        <v>0</v>
      </c>
      <c r="M91" s="144"/>
    </row>
    <row r="92" spans="1:13" ht="45" customHeight="1">
      <c r="A92" s="121" t="s">
        <v>17</v>
      </c>
      <c r="B92" s="122" t="s">
        <v>223</v>
      </c>
      <c r="C92" s="201">
        <f t="shared" si="13"/>
        <v>0</v>
      </c>
      <c r="D92" s="201"/>
      <c r="E92" s="201"/>
      <c r="F92" s="198"/>
      <c r="G92" s="201"/>
      <c r="H92" s="198"/>
      <c r="I92" s="116"/>
      <c r="J92" s="116"/>
      <c r="K92" s="144"/>
      <c r="L92" s="144"/>
      <c r="M92" s="144"/>
    </row>
    <row r="93" spans="1:13" ht="27" customHeight="1">
      <c r="A93" s="121" t="s">
        <v>19</v>
      </c>
      <c r="B93" s="122" t="s">
        <v>366</v>
      </c>
      <c r="C93" s="201">
        <f t="shared" si="13"/>
        <v>0</v>
      </c>
      <c r="D93" s="201"/>
      <c r="E93" s="201"/>
      <c r="F93" s="198">
        <f aca="true" t="shared" si="15" ref="F93:F102">G93+H93</f>
        <v>0</v>
      </c>
      <c r="G93" s="201"/>
      <c r="H93" s="198"/>
      <c r="I93" s="116"/>
      <c r="J93" s="116"/>
      <c r="K93" s="144"/>
      <c r="L93" s="144"/>
      <c r="M93" s="144"/>
    </row>
    <row r="94" spans="1:13" ht="24.75" customHeight="1">
      <c r="A94" s="121" t="s">
        <v>29</v>
      </c>
      <c r="B94" s="122" t="s">
        <v>224</v>
      </c>
      <c r="C94" s="201">
        <f t="shared" si="13"/>
        <v>0</v>
      </c>
      <c r="D94" s="201"/>
      <c r="E94" s="201"/>
      <c r="F94" s="198">
        <f t="shared" si="15"/>
        <v>0</v>
      </c>
      <c r="G94" s="201"/>
      <c r="H94" s="198"/>
      <c r="I94" s="116"/>
      <c r="J94" s="116"/>
      <c r="K94" s="144"/>
      <c r="L94" s="144"/>
      <c r="M94" s="144"/>
    </row>
    <row r="95" spans="1:13" ht="32.25" customHeight="1">
      <c r="A95" s="121" t="s">
        <v>108</v>
      </c>
      <c r="B95" s="152" t="s">
        <v>337</v>
      </c>
      <c r="C95" s="198">
        <f t="shared" si="13"/>
        <v>9025286565</v>
      </c>
      <c r="D95" s="198">
        <f>'[6]62 '!$F$67</f>
        <v>5727000000</v>
      </c>
      <c r="E95" s="198">
        <f>'[6]62 '!$J$67</f>
        <v>3298286565</v>
      </c>
      <c r="F95" s="198"/>
      <c r="G95" s="201"/>
      <c r="H95" s="198"/>
      <c r="I95" s="116"/>
      <c r="J95" s="116"/>
      <c r="K95" s="144"/>
      <c r="L95" s="144"/>
      <c r="M95" s="144"/>
    </row>
    <row r="96" spans="1:13" ht="30" customHeight="1">
      <c r="A96" s="121" t="s">
        <v>108</v>
      </c>
      <c r="B96" s="122" t="s">
        <v>18</v>
      </c>
      <c r="C96" s="198">
        <f t="shared" si="13"/>
        <v>18857169059</v>
      </c>
      <c r="D96" s="198">
        <f>'[6]62 '!$F$69</f>
        <v>17050169059</v>
      </c>
      <c r="E96" s="198">
        <f>'[6]62 '!$J$69</f>
        <v>1807000000</v>
      </c>
      <c r="F96" s="198">
        <f t="shared" si="15"/>
        <v>0</v>
      </c>
      <c r="G96" s="201"/>
      <c r="H96" s="198"/>
      <c r="I96" s="116"/>
      <c r="J96" s="116"/>
      <c r="K96" s="144">
        <f>(F96/C96)*100</f>
        <v>0</v>
      </c>
      <c r="L96" s="144">
        <f>(G96/D96)*100</f>
        <v>0</v>
      </c>
      <c r="M96" s="144">
        <f>(H96/E96)*100</f>
        <v>0</v>
      </c>
    </row>
    <row r="97" spans="1:13" ht="39" customHeight="1">
      <c r="A97" s="121" t="s">
        <v>20</v>
      </c>
      <c r="B97" s="122" t="s">
        <v>21</v>
      </c>
      <c r="C97" s="201">
        <f t="shared" si="13"/>
        <v>0</v>
      </c>
      <c r="D97" s="198"/>
      <c r="E97" s="198"/>
      <c r="F97" s="198">
        <f t="shared" si="15"/>
        <v>0</v>
      </c>
      <c r="G97" s="198"/>
      <c r="H97" s="198"/>
      <c r="I97" s="116"/>
      <c r="J97" s="116"/>
      <c r="K97" s="144"/>
      <c r="L97" s="144"/>
      <c r="M97" s="144"/>
    </row>
    <row r="98" spans="1:13" ht="42.75" customHeight="1">
      <c r="A98" s="121" t="s">
        <v>10</v>
      </c>
      <c r="B98" s="122" t="s">
        <v>72</v>
      </c>
      <c r="C98" s="201">
        <f t="shared" si="13"/>
        <v>0</v>
      </c>
      <c r="D98" s="198"/>
      <c r="E98" s="198"/>
      <c r="F98" s="198">
        <f t="shared" si="15"/>
        <v>0</v>
      </c>
      <c r="G98" s="198"/>
      <c r="H98" s="198"/>
      <c r="I98" s="116"/>
      <c r="J98" s="116"/>
      <c r="K98" s="144"/>
      <c r="L98" s="144"/>
      <c r="M98" s="144"/>
    </row>
    <row r="99" spans="1:13" ht="39.75" customHeight="1">
      <c r="A99" s="121" t="s">
        <v>14</v>
      </c>
      <c r="B99" s="122" t="s">
        <v>73</v>
      </c>
      <c r="C99" s="201">
        <f t="shared" si="13"/>
        <v>0</v>
      </c>
      <c r="D99" s="198"/>
      <c r="E99" s="198"/>
      <c r="F99" s="198">
        <f t="shared" si="15"/>
        <v>0</v>
      </c>
      <c r="G99" s="198"/>
      <c r="H99" s="198"/>
      <c r="I99" s="116"/>
      <c r="J99" s="116"/>
      <c r="K99" s="144"/>
      <c r="L99" s="144"/>
      <c r="M99" s="144"/>
    </row>
    <row r="100" spans="1:13" ht="40.5" customHeight="1">
      <c r="A100" s="121" t="s">
        <v>22</v>
      </c>
      <c r="B100" s="153" t="s">
        <v>225</v>
      </c>
      <c r="C100" s="198">
        <f t="shared" si="13"/>
        <v>79461700952</v>
      </c>
      <c r="D100" s="198">
        <f>'[6]62 '!$F$66</f>
        <v>66092633708</v>
      </c>
      <c r="E100" s="198">
        <f>'[6]62 '!$J$66</f>
        <v>13369067244</v>
      </c>
      <c r="F100" s="198">
        <f t="shared" si="15"/>
        <v>200546150936</v>
      </c>
      <c r="G100" s="198">
        <f>'[1]49'!E26</f>
        <v>181965936467</v>
      </c>
      <c r="H100" s="198">
        <f>'[1]49'!F45</f>
        <v>18580214469</v>
      </c>
      <c r="I100" s="116"/>
      <c r="J100" s="116"/>
      <c r="K100" s="144"/>
      <c r="L100" s="144"/>
      <c r="M100" s="144"/>
    </row>
    <row r="101" spans="1:13" ht="42.75" customHeight="1">
      <c r="A101" s="121" t="s">
        <v>111</v>
      </c>
      <c r="B101" s="154" t="s">
        <v>171</v>
      </c>
      <c r="C101" s="198"/>
      <c r="D101" s="198"/>
      <c r="E101" s="198"/>
      <c r="F101" s="198">
        <f t="shared" si="15"/>
        <v>0</v>
      </c>
      <c r="G101" s="198"/>
      <c r="H101" s="198"/>
      <c r="I101" s="116"/>
      <c r="J101" s="116"/>
      <c r="K101" s="144"/>
      <c r="L101" s="144"/>
      <c r="M101" s="144"/>
    </row>
    <row r="102" spans="1:13" s="166" customFormat="1" ht="31.5" customHeight="1">
      <c r="A102" s="121" t="s">
        <v>479</v>
      </c>
      <c r="B102" s="122" t="s">
        <v>509</v>
      </c>
      <c r="C102" s="198">
        <f t="shared" si="13"/>
        <v>7622000000</v>
      </c>
      <c r="D102" s="198">
        <f>'[6]62 '!$F$76</f>
        <v>7622000000</v>
      </c>
      <c r="E102" s="198"/>
      <c r="F102" s="198">
        <f t="shared" si="15"/>
        <v>9328866497</v>
      </c>
      <c r="G102" s="198">
        <f>'[6]62 '!$O$76</f>
        <v>9328866497</v>
      </c>
      <c r="H102" s="198"/>
      <c r="I102" s="116"/>
      <c r="J102" s="116"/>
      <c r="K102" s="144"/>
      <c r="L102" s="144"/>
      <c r="M102" s="144"/>
    </row>
    <row r="103" spans="1:13" s="166" customFormat="1" ht="42" customHeight="1">
      <c r="A103" s="121" t="s">
        <v>510</v>
      </c>
      <c r="B103" s="122" t="s">
        <v>342</v>
      </c>
      <c r="C103" s="198">
        <f t="shared" si="13"/>
        <v>0</v>
      </c>
      <c r="D103" s="198"/>
      <c r="E103" s="198"/>
      <c r="F103" s="198"/>
      <c r="G103" s="198"/>
      <c r="H103" s="198"/>
      <c r="I103" s="116"/>
      <c r="J103" s="116"/>
      <c r="K103" s="144"/>
      <c r="L103" s="144"/>
      <c r="M103" s="144"/>
    </row>
  </sheetData>
  <sheetProtection/>
  <mergeCells count="13">
    <mergeCell ref="A7:A8"/>
    <mergeCell ref="B7:B8"/>
    <mergeCell ref="C7:C8"/>
    <mergeCell ref="D7:E7"/>
    <mergeCell ref="F7:F8"/>
    <mergeCell ref="G7:H7"/>
    <mergeCell ref="A5:M5"/>
    <mergeCell ref="K1:M1"/>
    <mergeCell ref="K6:M6"/>
    <mergeCell ref="K7:M7"/>
    <mergeCell ref="A1:B1"/>
    <mergeCell ref="A3:M3"/>
    <mergeCell ref="A4:M4"/>
  </mergeCells>
  <printOptions/>
  <pageMargins left="0.3937007874015748" right="0.3937007874015748" top="0.5905511811023623" bottom="0.5905511811023623" header="0.31496062992125984" footer="0.31496062992125984"/>
  <pageSetup horizontalDpi="600" verticalDpi="600" orientation="landscape" paperSize="9" scale="85" r:id="rId3"/>
  <headerFooter>
    <oddHeader>&amp;CPage &amp;P</oddHeader>
  </headerFooter>
  <legacyDrawing r:id="rId2"/>
</worksheet>
</file>

<file path=xl/worksheets/sheet4.xml><?xml version="1.0" encoding="utf-8"?>
<worksheet xmlns="http://schemas.openxmlformats.org/spreadsheetml/2006/main" xmlns:r="http://schemas.openxmlformats.org/officeDocument/2006/relationships">
  <sheetPr>
    <tabColor rgb="FF00B0F0"/>
  </sheetPr>
  <dimension ref="A1:E49"/>
  <sheetViews>
    <sheetView zoomScalePageLayoutView="0" workbookViewId="0" topLeftCell="A1">
      <selection activeCell="A5" sqref="A5:E5"/>
    </sheetView>
  </sheetViews>
  <sheetFormatPr defaultColWidth="9.140625" defaultRowHeight="12.75"/>
  <cols>
    <col min="1" max="1" width="6.140625" style="188" customWidth="1"/>
    <col min="2" max="2" width="50.00390625" style="188" customWidth="1"/>
    <col min="3" max="3" width="13.8515625" style="188" customWidth="1"/>
    <col min="4" max="4" width="14.28125" style="188" customWidth="1"/>
    <col min="5" max="5" width="11.8515625" style="188" customWidth="1"/>
    <col min="6" max="16384" width="9.140625" style="188" customWidth="1"/>
  </cols>
  <sheetData>
    <row r="1" spans="1:5" ht="16.5" customHeight="1">
      <c r="A1" s="187" t="s">
        <v>517</v>
      </c>
      <c r="B1" s="187"/>
      <c r="D1" s="439" t="s">
        <v>33</v>
      </c>
      <c r="E1" s="439"/>
    </row>
    <row r="2" spans="1:5" ht="16.5" customHeight="1">
      <c r="A2" s="187" t="s">
        <v>489</v>
      </c>
      <c r="B2" s="187"/>
      <c r="D2" s="189"/>
      <c r="E2" s="190"/>
    </row>
    <row r="3" spans="1:5" ht="59.25" customHeight="1">
      <c r="A3" s="458" t="s">
        <v>572</v>
      </c>
      <c r="B3" s="459"/>
      <c r="C3" s="459"/>
      <c r="D3" s="459"/>
      <c r="E3" s="459"/>
    </row>
    <row r="4" spans="1:5" ht="19.5" customHeight="1">
      <c r="A4" s="456" t="s">
        <v>36</v>
      </c>
      <c r="B4" s="456"/>
      <c r="C4" s="456"/>
      <c r="D4" s="456"/>
      <c r="E4" s="456"/>
    </row>
    <row r="5" spans="1:5" ht="19.5" customHeight="1">
      <c r="A5" s="442" t="s">
        <v>605</v>
      </c>
      <c r="B5" s="442"/>
      <c r="C5" s="442"/>
      <c r="D5" s="442"/>
      <c r="E5" s="442"/>
    </row>
    <row r="6" spans="4:5" ht="21" customHeight="1">
      <c r="D6" s="451" t="s">
        <v>554</v>
      </c>
      <c r="E6" s="451"/>
    </row>
    <row r="7" spans="1:5" ht="15.75">
      <c r="A7" s="460" t="s">
        <v>0</v>
      </c>
      <c r="B7" s="460" t="s">
        <v>1</v>
      </c>
      <c r="C7" s="460" t="s">
        <v>62</v>
      </c>
      <c r="D7" s="461" t="s">
        <v>4</v>
      </c>
      <c r="E7" s="463" t="s">
        <v>23</v>
      </c>
    </row>
    <row r="8" spans="1:5" ht="30" customHeight="1">
      <c r="A8" s="460"/>
      <c r="B8" s="460"/>
      <c r="C8" s="460"/>
      <c r="D8" s="462"/>
      <c r="E8" s="464"/>
    </row>
    <row r="9" spans="1:5" s="191" customFormat="1" ht="21.75" customHeight="1">
      <c r="A9" s="180" t="s">
        <v>9</v>
      </c>
      <c r="B9" s="180" t="s">
        <v>20</v>
      </c>
      <c r="C9" s="180">
        <v>1</v>
      </c>
      <c r="D9" s="180">
        <v>2</v>
      </c>
      <c r="E9" s="180" t="s">
        <v>24</v>
      </c>
    </row>
    <row r="10" spans="1:5" ht="29.25" customHeight="1">
      <c r="A10" s="179"/>
      <c r="B10" s="181" t="s">
        <v>488</v>
      </c>
      <c r="C10" s="193">
        <f>C11+C12+C49</f>
        <v>955137008059</v>
      </c>
      <c r="D10" s="193">
        <f>D11+D12+D49</f>
        <v>1065972479140</v>
      </c>
      <c r="E10" s="182">
        <f>(D10/C10)*100%</f>
        <v>1.116041437140245</v>
      </c>
    </row>
    <row r="11" spans="1:5" ht="40.5" customHeight="1">
      <c r="A11" s="179" t="s">
        <v>9</v>
      </c>
      <c r="B11" s="181" t="s">
        <v>518</v>
      </c>
      <c r="C11" s="193">
        <f>'[1]49'!C34</f>
        <v>78796000000</v>
      </c>
      <c r="D11" s="193">
        <f>'[1]49'!D34</f>
        <v>78796000000</v>
      </c>
      <c r="E11" s="182">
        <f aca="true" t="shared" si="0" ref="E11:E43">(D11/C11)*100%</f>
        <v>1</v>
      </c>
    </row>
    <row r="12" spans="1:5" ht="43.5" customHeight="1">
      <c r="A12" s="179" t="s">
        <v>20</v>
      </c>
      <c r="B12" s="181" t="s">
        <v>519</v>
      </c>
      <c r="C12" s="193">
        <f>C13+C30+C45+C46+C47+C48</f>
        <v>876341008059</v>
      </c>
      <c r="D12" s="193">
        <f>D13+D30+D45+D46+D47+D48</f>
        <v>805210542673</v>
      </c>
      <c r="E12" s="182">
        <f t="shared" si="0"/>
        <v>0.9188324353968711</v>
      </c>
    </row>
    <row r="13" spans="1:5" ht="27.75" customHeight="1">
      <c r="A13" s="179" t="s">
        <v>10</v>
      </c>
      <c r="B13" s="181" t="s">
        <v>11</v>
      </c>
      <c r="C13" s="193">
        <f>C14+C28+C29</f>
        <v>240935839000</v>
      </c>
      <c r="D13" s="193">
        <f>D14+D28+D29</f>
        <v>241096207062</v>
      </c>
      <c r="E13" s="182">
        <f t="shared" si="0"/>
        <v>1.0006656048459441</v>
      </c>
    </row>
    <row r="14" spans="1:5" ht="21" customHeight="1">
      <c r="A14" s="183" t="s">
        <v>384</v>
      </c>
      <c r="B14" s="184" t="s">
        <v>210</v>
      </c>
      <c r="C14" s="193">
        <f>SUM(C15:C27)</f>
        <v>236935839000</v>
      </c>
      <c r="D14" s="193">
        <f>SUM(D15:D27)</f>
        <v>237096207062</v>
      </c>
      <c r="E14" s="185">
        <f t="shared" si="0"/>
        <v>1.0006768417250713</v>
      </c>
    </row>
    <row r="15" spans="1:5" ht="21" customHeight="1">
      <c r="A15" s="183" t="s">
        <v>31</v>
      </c>
      <c r="B15" s="184" t="s">
        <v>100</v>
      </c>
      <c r="C15" s="194">
        <v>72585000000</v>
      </c>
      <c r="D15" s="194">
        <f>'[1]55-XDCB'!M8</f>
        <v>60530759000</v>
      </c>
      <c r="E15" s="185">
        <f t="shared" si="0"/>
        <v>0.8339293104635944</v>
      </c>
    </row>
    <row r="16" spans="1:5" ht="21" customHeight="1">
      <c r="A16" s="183" t="s">
        <v>31</v>
      </c>
      <c r="B16" s="184" t="s">
        <v>12</v>
      </c>
      <c r="C16" s="194"/>
      <c r="D16" s="194"/>
      <c r="E16" s="182"/>
    </row>
    <row r="17" spans="1:5" ht="21" customHeight="1">
      <c r="A17" s="183" t="s">
        <v>31</v>
      </c>
      <c r="B17" s="184" t="s">
        <v>173</v>
      </c>
      <c r="C17" s="194">
        <v>1258000000</v>
      </c>
      <c r="D17" s="194">
        <f>'[1]55-XDCB'!O8</f>
        <v>278616000</v>
      </c>
      <c r="E17" s="185">
        <f t="shared" si="0"/>
        <v>0.22147535771065183</v>
      </c>
    </row>
    <row r="18" spans="1:5" ht="21" customHeight="1">
      <c r="A18" s="183" t="s">
        <v>31</v>
      </c>
      <c r="B18" s="184" t="s">
        <v>357</v>
      </c>
      <c r="C18" s="194">
        <v>4700710000</v>
      </c>
      <c r="D18" s="194">
        <f>'[1]55-XDCB'!P8</f>
        <v>6298190000</v>
      </c>
      <c r="E18" s="185">
        <f t="shared" si="0"/>
        <v>1.339838024468644</v>
      </c>
    </row>
    <row r="19" spans="1:5" ht="21" customHeight="1">
      <c r="A19" s="183" t="s">
        <v>31</v>
      </c>
      <c r="B19" s="184" t="s">
        <v>25</v>
      </c>
      <c r="C19" s="194"/>
      <c r="D19" s="194"/>
      <c r="E19" s="182"/>
    </row>
    <row r="20" spans="1:5" ht="21" customHeight="1">
      <c r="A20" s="183" t="s">
        <v>31</v>
      </c>
      <c r="B20" s="184" t="s">
        <v>215</v>
      </c>
      <c r="C20" s="194">
        <v>7101000000</v>
      </c>
      <c r="D20" s="194">
        <f>'[1]55-XDCB'!R8</f>
        <v>4537730000</v>
      </c>
      <c r="E20" s="185">
        <f t="shared" si="0"/>
        <v>0.6390268976200535</v>
      </c>
    </row>
    <row r="21" spans="1:5" ht="21" customHeight="1">
      <c r="A21" s="183" t="s">
        <v>31</v>
      </c>
      <c r="B21" s="184" t="s">
        <v>216</v>
      </c>
      <c r="C21" s="194"/>
      <c r="D21" s="194"/>
      <c r="E21" s="182"/>
    </row>
    <row r="22" spans="1:5" ht="21" customHeight="1">
      <c r="A22" s="183" t="s">
        <v>31</v>
      </c>
      <c r="B22" s="184" t="s">
        <v>101</v>
      </c>
      <c r="C22" s="194"/>
      <c r="D22" s="194"/>
      <c r="E22" s="182"/>
    </row>
    <row r="23" spans="1:5" ht="21" customHeight="1">
      <c r="A23" s="183" t="s">
        <v>31</v>
      </c>
      <c r="B23" s="184" t="s">
        <v>26</v>
      </c>
      <c r="C23" s="194" t="s">
        <v>423</v>
      </c>
      <c r="D23" s="194" t="s">
        <v>423</v>
      </c>
      <c r="E23" s="182"/>
    </row>
    <row r="24" spans="1:5" ht="21" customHeight="1">
      <c r="A24" s="183" t="s">
        <v>31</v>
      </c>
      <c r="B24" s="184" t="s">
        <v>217</v>
      </c>
      <c r="C24" s="194">
        <v>120597000000</v>
      </c>
      <c r="D24" s="194">
        <v>139961828062</v>
      </c>
      <c r="E24" s="185">
        <f t="shared" si="0"/>
        <v>1.1605747080109787</v>
      </c>
    </row>
    <row r="25" spans="1:5" ht="44.25" customHeight="1">
      <c r="A25" s="183" t="s">
        <v>31</v>
      </c>
      <c r="B25" s="184" t="s">
        <v>520</v>
      </c>
      <c r="C25" s="194">
        <v>21644000000</v>
      </c>
      <c r="D25" s="194">
        <v>25489084000</v>
      </c>
      <c r="E25" s="185">
        <f t="shared" si="0"/>
        <v>1.1776512659397524</v>
      </c>
    </row>
    <row r="26" spans="1:5" ht="24" customHeight="1">
      <c r="A26" s="183" t="s">
        <v>31</v>
      </c>
      <c r="B26" s="184" t="s">
        <v>102</v>
      </c>
      <c r="C26" s="194"/>
      <c r="D26" s="194"/>
      <c r="E26" s="185"/>
    </row>
    <row r="27" spans="1:5" ht="22.5" customHeight="1">
      <c r="A27" s="183" t="s">
        <v>31</v>
      </c>
      <c r="B27" s="184" t="s">
        <v>521</v>
      </c>
      <c r="C27" s="194">
        <v>9050129000</v>
      </c>
      <c r="D27" s="194"/>
      <c r="E27" s="182"/>
    </row>
    <row r="28" spans="1:5" ht="99" customHeight="1">
      <c r="A28" s="183" t="s">
        <v>347</v>
      </c>
      <c r="B28" s="184" t="s">
        <v>222</v>
      </c>
      <c r="C28" s="194"/>
      <c r="D28" s="194"/>
      <c r="E28" s="182"/>
    </row>
    <row r="29" spans="1:5" ht="27" customHeight="1">
      <c r="A29" s="183" t="s">
        <v>348</v>
      </c>
      <c r="B29" s="184" t="s">
        <v>13</v>
      </c>
      <c r="C29" s="194">
        <v>4000000000</v>
      </c>
      <c r="D29" s="194">
        <v>4000000000</v>
      </c>
      <c r="E29" s="185">
        <v>0</v>
      </c>
    </row>
    <row r="30" spans="1:5" ht="33" customHeight="1">
      <c r="A30" s="179" t="s">
        <v>14</v>
      </c>
      <c r="B30" s="181" t="s">
        <v>15</v>
      </c>
      <c r="C30" s="193">
        <f>SUM(C31:C44)</f>
        <v>618355000000</v>
      </c>
      <c r="D30" s="193">
        <f>SUM(D31:D43)</f>
        <v>564114335611</v>
      </c>
      <c r="E30" s="182">
        <f t="shared" si="0"/>
        <v>0.9122823226318215</v>
      </c>
    </row>
    <row r="31" spans="1:5" ht="22.5" customHeight="1">
      <c r="A31" s="183" t="s">
        <v>31</v>
      </c>
      <c r="B31" s="184" t="s">
        <v>100</v>
      </c>
      <c r="C31" s="194">
        <v>261304000000</v>
      </c>
      <c r="D31" s="194">
        <f>'[1]56'!H11</f>
        <v>245038826491</v>
      </c>
      <c r="E31" s="185">
        <f t="shared" si="0"/>
        <v>0.9377538288392064</v>
      </c>
    </row>
    <row r="32" spans="1:5" ht="22.5" customHeight="1">
      <c r="A32" s="183" t="s">
        <v>31</v>
      </c>
      <c r="B32" s="186" t="s">
        <v>358</v>
      </c>
      <c r="C32" s="194">
        <v>100000000</v>
      </c>
      <c r="D32" s="194"/>
      <c r="E32" s="182"/>
    </row>
    <row r="33" spans="1:5" ht="22.5" customHeight="1">
      <c r="A33" s="183" t="s">
        <v>31</v>
      </c>
      <c r="B33" s="184" t="s">
        <v>173</v>
      </c>
      <c r="C33" s="194">
        <v>15045000000</v>
      </c>
      <c r="D33" s="194">
        <v>20576548964</v>
      </c>
      <c r="E33" s="185">
        <f t="shared" si="0"/>
        <v>1.3676669301429045</v>
      </c>
    </row>
    <row r="34" spans="1:5" ht="22.5" customHeight="1">
      <c r="A34" s="183" t="s">
        <v>31</v>
      </c>
      <c r="B34" s="184" t="s">
        <v>357</v>
      </c>
      <c r="C34" s="194">
        <v>2744000000</v>
      </c>
      <c r="D34" s="194">
        <v>4870130000</v>
      </c>
      <c r="E34" s="185">
        <f t="shared" si="0"/>
        <v>1.774828717201166</v>
      </c>
    </row>
    <row r="35" spans="1:5" ht="22.5" customHeight="1">
      <c r="A35" s="183" t="s">
        <v>31</v>
      </c>
      <c r="B35" s="184" t="s">
        <v>25</v>
      </c>
      <c r="C35" s="194">
        <v>4500000000</v>
      </c>
      <c r="D35" s="195">
        <v>26596842896</v>
      </c>
      <c r="E35" s="185">
        <f t="shared" si="0"/>
        <v>5.910409532444445</v>
      </c>
    </row>
    <row r="36" spans="1:5" ht="22.5" customHeight="1">
      <c r="A36" s="183" t="s">
        <v>31</v>
      </c>
      <c r="B36" s="184" t="s">
        <v>215</v>
      </c>
      <c r="C36" s="194">
        <v>12177000000</v>
      </c>
      <c r="D36" s="195">
        <v>5786261525</v>
      </c>
      <c r="E36" s="185">
        <f t="shared" si="0"/>
        <v>0.4751795618789521</v>
      </c>
    </row>
    <row r="37" spans="1:5" s="192" customFormat="1" ht="22.5" customHeight="1">
      <c r="A37" s="183" t="s">
        <v>31</v>
      </c>
      <c r="B37" s="184" t="s">
        <v>216</v>
      </c>
      <c r="C37" s="194">
        <v>5076000000</v>
      </c>
      <c r="D37" s="195">
        <v>5216552000</v>
      </c>
      <c r="E37" s="185">
        <f t="shared" si="0"/>
        <v>1.0276895193065405</v>
      </c>
    </row>
    <row r="38" spans="1:5" s="192" customFormat="1" ht="22.5" customHeight="1">
      <c r="A38" s="183" t="s">
        <v>31</v>
      </c>
      <c r="B38" s="184" t="s">
        <v>101</v>
      </c>
      <c r="C38" s="194">
        <v>1040000000</v>
      </c>
      <c r="D38" s="195">
        <v>954586352</v>
      </c>
      <c r="E38" s="185">
        <f t="shared" si="0"/>
        <v>0.9178714923076923</v>
      </c>
    </row>
    <row r="39" spans="1:5" ht="22.5" customHeight="1">
      <c r="A39" s="183" t="s">
        <v>31</v>
      </c>
      <c r="B39" s="184" t="s">
        <v>26</v>
      </c>
      <c r="C39" s="194">
        <v>30192000000</v>
      </c>
      <c r="D39" s="195">
        <v>30246114853</v>
      </c>
      <c r="E39" s="185">
        <f t="shared" si="0"/>
        <v>1.001792357346317</v>
      </c>
    </row>
    <row r="40" spans="1:5" ht="22.5" customHeight="1">
      <c r="A40" s="183" t="s">
        <v>31</v>
      </c>
      <c r="B40" s="184" t="s">
        <v>217</v>
      </c>
      <c r="C40" s="194">
        <v>114041000000</v>
      </c>
      <c r="D40" s="196">
        <v>79613046613</v>
      </c>
      <c r="E40" s="185">
        <f t="shared" si="0"/>
        <v>0.6981089837251515</v>
      </c>
    </row>
    <row r="41" spans="1:5" ht="49.5" customHeight="1">
      <c r="A41" s="183" t="s">
        <v>31</v>
      </c>
      <c r="B41" s="184" t="s">
        <v>520</v>
      </c>
      <c r="C41" s="194">
        <v>95554000000</v>
      </c>
      <c r="D41" s="195">
        <v>50748920977</v>
      </c>
      <c r="E41" s="185">
        <f t="shared" si="0"/>
        <v>0.5311020049082195</v>
      </c>
    </row>
    <row r="42" spans="1:5" ht="28.5" customHeight="1">
      <c r="A42" s="183" t="s">
        <v>31</v>
      </c>
      <c r="B42" s="184" t="s">
        <v>102</v>
      </c>
      <c r="C42" s="194">
        <v>37806000000</v>
      </c>
      <c r="D42" s="194">
        <v>93725342940</v>
      </c>
      <c r="E42" s="185">
        <f t="shared" si="0"/>
        <v>2.479112916997302</v>
      </c>
    </row>
    <row r="43" spans="1:5" ht="28.5" customHeight="1">
      <c r="A43" s="183" t="s">
        <v>31</v>
      </c>
      <c r="B43" s="184" t="s">
        <v>522</v>
      </c>
      <c r="C43" s="194">
        <v>24890000000</v>
      </c>
      <c r="D43" s="194">
        <v>741162000</v>
      </c>
      <c r="E43" s="185">
        <f t="shared" si="0"/>
        <v>0.029777501004419445</v>
      </c>
    </row>
    <row r="44" spans="1:5" ht="28.5" customHeight="1">
      <c r="A44" s="183" t="s">
        <v>31</v>
      </c>
      <c r="B44" s="184" t="s">
        <v>336</v>
      </c>
      <c r="C44" s="194">
        <v>13886000000</v>
      </c>
      <c r="D44" s="194"/>
      <c r="E44" s="185"/>
    </row>
    <row r="45" spans="1:5" ht="42.75" customHeight="1">
      <c r="A45" s="179" t="s">
        <v>17</v>
      </c>
      <c r="B45" s="181" t="s">
        <v>523</v>
      </c>
      <c r="C45" s="194" t="s">
        <v>423</v>
      </c>
      <c r="D45" s="194" t="s">
        <v>423</v>
      </c>
      <c r="E45" s="182"/>
    </row>
    <row r="46" spans="1:5" ht="25.5" customHeight="1">
      <c r="A46" s="179" t="s">
        <v>19</v>
      </c>
      <c r="B46" s="181" t="s">
        <v>255</v>
      </c>
      <c r="C46" s="194" t="s">
        <v>423</v>
      </c>
      <c r="D46" s="194" t="s">
        <v>423</v>
      </c>
      <c r="E46" s="182"/>
    </row>
    <row r="47" spans="1:5" ht="24" customHeight="1">
      <c r="A47" s="179" t="s">
        <v>29</v>
      </c>
      <c r="B47" s="181" t="s">
        <v>18</v>
      </c>
      <c r="C47" s="197">
        <v>17050169059</v>
      </c>
      <c r="D47" s="194" t="s">
        <v>423</v>
      </c>
      <c r="E47" s="182"/>
    </row>
    <row r="48" spans="1:5" ht="24.75" customHeight="1">
      <c r="A48" s="179" t="s">
        <v>108</v>
      </c>
      <c r="B48" s="181" t="s">
        <v>524</v>
      </c>
      <c r="C48" s="193"/>
      <c r="D48" s="193">
        <v>0</v>
      </c>
      <c r="E48" s="182"/>
    </row>
    <row r="49" spans="1:5" ht="44.25" customHeight="1">
      <c r="A49" s="179" t="s">
        <v>22</v>
      </c>
      <c r="B49" s="181" t="s">
        <v>225</v>
      </c>
      <c r="C49" s="194">
        <v>0</v>
      </c>
      <c r="D49" s="193">
        <f>'[1]51'!E33</f>
        <v>181965936467</v>
      </c>
      <c r="E49" s="182"/>
    </row>
  </sheetData>
  <sheetProtection/>
  <mergeCells count="10">
    <mergeCell ref="D1:E1"/>
    <mergeCell ref="A3:E3"/>
    <mergeCell ref="A7:A8"/>
    <mergeCell ref="B7:B8"/>
    <mergeCell ref="C7:C8"/>
    <mergeCell ref="D7:D8"/>
    <mergeCell ref="E7:E8"/>
    <mergeCell ref="D6:E6"/>
    <mergeCell ref="A4:E4"/>
    <mergeCell ref="A5:E5"/>
  </mergeCells>
  <printOptions/>
  <pageMargins left="0.3937007874015748" right="0.3937007874015748" top="0.5905511811023623" bottom="0.3937007874015748" header="0.4330708661417323" footer="0.1968503937007874"/>
  <pageSetup horizontalDpi="600" verticalDpi="600" orientation="portrait" paperSize="9" r:id="rId1"/>
  <headerFooter alignWithMargins="0">
    <oddHeader>&amp;CPage &amp;P</oddHeader>
  </headerFooter>
</worksheet>
</file>

<file path=xl/worksheets/sheet5.xml><?xml version="1.0" encoding="utf-8"?>
<worksheet xmlns="http://schemas.openxmlformats.org/spreadsheetml/2006/main" xmlns:r="http://schemas.openxmlformats.org/officeDocument/2006/relationships">
  <sheetPr>
    <tabColor rgb="FF00B0F0"/>
  </sheetPr>
  <dimension ref="A1:Q116"/>
  <sheetViews>
    <sheetView zoomScalePageLayoutView="0" workbookViewId="0" topLeftCell="A1">
      <selection activeCell="A6" sqref="A6:Q6"/>
    </sheetView>
  </sheetViews>
  <sheetFormatPr defaultColWidth="9.140625" defaultRowHeight="12.75"/>
  <cols>
    <col min="1" max="1" width="5.140625" style="208" customWidth="1"/>
    <col min="2" max="2" width="27.7109375" style="210" customWidth="1"/>
    <col min="3" max="3" width="13.28125" style="208" customWidth="1"/>
    <col min="4" max="4" width="11.57421875" style="208" customWidth="1"/>
    <col min="5" max="5" width="12.140625" style="208" customWidth="1"/>
    <col min="6" max="6" width="13.28125" style="208" customWidth="1"/>
    <col min="7" max="8" width="12.140625" style="208" customWidth="1"/>
    <col min="9" max="9" width="6.8515625" style="208" customWidth="1"/>
    <col min="10" max="10" width="7.140625" style="208" customWidth="1"/>
    <col min="11" max="11" width="6.421875" style="208" customWidth="1"/>
    <col min="12" max="13" width="6.7109375" style="208" customWidth="1"/>
    <col min="14" max="14" width="12.7109375" style="208" customWidth="1"/>
    <col min="15" max="15" width="7.421875" style="208" customWidth="1"/>
    <col min="16" max="16" width="8.00390625" style="208" customWidth="1"/>
    <col min="17" max="17" width="7.140625" style="208" customWidth="1"/>
    <col min="18" max="16384" width="9.140625" style="208" customWidth="1"/>
  </cols>
  <sheetData>
    <row r="1" spans="2:17" ht="13.5" customHeight="1">
      <c r="B1" s="209" t="s">
        <v>517</v>
      </c>
      <c r="O1" s="439" t="s">
        <v>34</v>
      </c>
      <c r="P1" s="439"/>
      <c r="Q1" s="439"/>
    </row>
    <row r="2" ht="14.25">
      <c r="B2" s="209" t="s">
        <v>489</v>
      </c>
    </row>
    <row r="3" spans="2:17" ht="6" customHeight="1">
      <c r="B3" s="209"/>
      <c r="Q3" s="115"/>
    </row>
    <row r="4" spans="1:17" ht="32.25" customHeight="1">
      <c r="A4" s="469" t="s">
        <v>581</v>
      </c>
      <c r="B4" s="469"/>
      <c r="C4" s="469"/>
      <c r="D4" s="469"/>
      <c r="E4" s="469"/>
      <c r="F4" s="469"/>
      <c r="G4" s="469"/>
      <c r="H4" s="469"/>
      <c r="I4" s="469"/>
      <c r="J4" s="469"/>
      <c r="K4" s="469"/>
      <c r="L4" s="469"/>
      <c r="M4" s="469"/>
      <c r="N4" s="469"/>
      <c r="O4" s="469"/>
      <c r="P4" s="469"/>
      <c r="Q4" s="469"/>
    </row>
    <row r="5" spans="1:17" ht="18" customHeight="1">
      <c r="A5" s="456" t="s">
        <v>36</v>
      </c>
      <c r="B5" s="456"/>
      <c r="C5" s="456"/>
      <c r="D5" s="456"/>
      <c r="E5" s="456"/>
      <c r="F5" s="456"/>
      <c r="G5" s="456"/>
      <c r="H5" s="456"/>
      <c r="I5" s="456"/>
      <c r="J5" s="456"/>
      <c r="K5" s="456"/>
      <c r="L5" s="456"/>
      <c r="M5" s="456"/>
      <c r="N5" s="456"/>
      <c r="O5" s="456"/>
      <c r="P5" s="456"/>
      <c r="Q5" s="456"/>
    </row>
    <row r="6" spans="1:17" ht="20.25" customHeight="1">
      <c r="A6" s="442" t="s">
        <v>605</v>
      </c>
      <c r="B6" s="442"/>
      <c r="C6" s="442"/>
      <c r="D6" s="442"/>
      <c r="E6" s="442"/>
      <c r="F6" s="442"/>
      <c r="G6" s="442"/>
      <c r="H6" s="442"/>
      <c r="I6" s="442"/>
      <c r="J6" s="442"/>
      <c r="K6" s="442"/>
      <c r="L6" s="442"/>
      <c r="M6" s="442"/>
      <c r="N6" s="442"/>
      <c r="O6" s="442"/>
      <c r="P6" s="442"/>
      <c r="Q6" s="442"/>
    </row>
    <row r="7" spans="3:17" ht="15">
      <c r="C7" s="211"/>
      <c r="D7" s="212"/>
      <c r="E7" s="213"/>
      <c r="F7" s="212"/>
      <c r="H7" s="213"/>
      <c r="O7" s="470" t="s">
        <v>554</v>
      </c>
      <c r="P7" s="470"/>
      <c r="Q7" s="470"/>
    </row>
    <row r="8" spans="1:17" s="210" customFormat="1" ht="22.5" customHeight="1">
      <c r="A8" s="468" t="s">
        <v>0</v>
      </c>
      <c r="B8" s="468" t="s">
        <v>37</v>
      </c>
      <c r="C8" s="468" t="s">
        <v>253</v>
      </c>
      <c r="D8" s="468"/>
      <c r="E8" s="468"/>
      <c r="F8" s="465" t="s">
        <v>525</v>
      </c>
      <c r="G8" s="466"/>
      <c r="H8" s="466"/>
      <c r="I8" s="466"/>
      <c r="J8" s="466"/>
      <c r="K8" s="466"/>
      <c r="L8" s="466"/>
      <c r="M8" s="466"/>
      <c r="N8" s="467"/>
      <c r="O8" s="468" t="s">
        <v>23</v>
      </c>
      <c r="P8" s="468"/>
      <c r="Q8" s="468"/>
    </row>
    <row r="9" spans="1:17" s="210" customFormat="1" ht="23.25" customHeight="1">
      <c r="A9" s="468"/>
      <c r="B9" s="468"/>
      <c r="C9" s="468" t="s">
        <v>38</v>
      </c>
      <c r="D9" s="468" t="s">
        <v>573</v>
      </c>
      <c r="E9" s="468" t="s">
        <v>574</v>
      </c>
      <c r="F9" s="468" t="s">
        <v>38</v>
      </c>
      <c r="G9" s="468" t="s">
        <v>573</v>
      </c>
      <c r="H9" s="468" t="s">
        <v>574</v>
      </c>
      <c r="I9" s="468" t="s">
        <v>254</v>
      </c>
      <c r="J9" s="468" t="s">
        <v>255</v>
      </c>
      <c r="K9" s="468" t="s">
        <v>256</v>
      </c>
      <c r="L9" s="468"/>
      <c r="M9" s="468"/>
      <c r="N9" s="468" t="s">
        <v>257</v>
      </c>
      <c r="O9" s="468" t="s">
        <v>38</v>
      </c>
      <c r="P9" s="468" t="s">
        <v>11</v>
      </c>
      <c r="Q9" s="468" t="s">
        <v>15</v>
      </c>
    </row>
    <row r="10" spans="1:17" s="210" customFormat="1" ht="94.5" customHeight="1">
      <c r="A10" s="468"/>
      <c r="B10" s="468"/>
      <c r="C10" s="468"/>
      <c r="D10" s="468"/>
      <c r="E10" s="468"/>
      <c r="F10" s="468"/>
      <c r="G10" s="468"/>
      <c r="H10" s="468"/>
      <c r="I10" s="468"/>
      <c r="J10" s="468"/>
      <c r="K10" s="214" t="s">
        <v>38</v>
      </c>
      <c r="L10" s="214" t="s">
        <v>11</v>
      </c>
      <c r="M10" s="214" t="s">
        <v>15</v>
      </c>
      <c r="N10" s="468"/>
      <c r="O10" s="468"/>
      <c r="P10" s="468"/>
      <c r="Q10" s="468"/>
    </row>
    <row r="11" spans="1:17" s="216" customFormat="1" ht="18.75" customHeight="1">
      <c r="A11" s="215" t="s">
        <v>9</v>
      </c>
      <c r="B11" s="215" t="s">
        <v>20</v>
      </c>
      <c r="C11" s="215">
        <v>1</v>
      </c>
      <c r="D11" s="215">
        <v>2</v>
      </c>
      <c r="E11" s="215">
        <v>3</v>
      </c>
      <c r="F11" s="215">
        <v>4</v>
      </c>
      <c r="G11" s="215">
        <v>5</v>
      </c>
      <c r="H11" s="215">
        <v>6</v>
      </c>
      <c r="I11" s="215">
        <v>7</v>
      </c>
      <c r="J11" s="215">
        <v>8</v>
      </c>
      <c r="K11" s="215">
        <v>9</v>
      </c>
      <c r="L11" s="215">
        <v>10</v>
      </c>
      <c r="M11" s="215">
        <v>11</v>
      </c>
      <c r="N11" s="215">
        <v>12</v>
      </c>
      <c r="O11" s="215">
        <v>13</v>
      </c>
      <c r="P11" s="215">
        <v>14</v>
      </c>
      <c r="Q11" s="215">
        <v>15</v>
      </c>
    </row>
    <row r="12" spans="1:17" ht="22.5" customHeight="1">
      <c r="A12" s="124"/>
      <c r="B12" s="217" t="s">
        <v>27</v>
      </c>
      <c r="C12" s="218">
        <f aca="true" t="shared" si="0" ref="C12:N12">C13+C110+C111+C112+C113+C114+C115+C116</f>
        <v>973933805178</v>
      </c>
      <c r="D12" s="218">
        <f t="shared" si="0"/>
        <v>298800500062</v>
      </c>
      <c r="E12" s="218">
        <f t="shared" si="0"/>
        <v>675133305116</v>
      </c>
      <c r="F12" s="218">
        <f t="shared" si="0"/>
        <v>1237276339504</v>
      </c>
      <c r="G12" s="218">
        <f t="shared" si="0"/>
        <v>241096207062</v>
      </c>
      <c r="H12" s="218">
        <f t="shared" si="0"/>
        <v>795633981506</v>
      </c>
      <c r="I12" s="218">
        <f t="shared" si="0"/>
        <v>0</v>
      </c>
      <c r="J12" s="218">
        <f t="shared" si="0"/>
        <v>0</v>
      </c>
      <c r="K12" s="218">
        <f t="shared" si="0"/>
        <v>0</v>
      </c>
      <c r="L12" s="218">
        <f t="shared" si="0"/>
        <v>0</v>
      </c>
      <c r="M12" s="218">
        <f t="shared" si="0"/>
        <v>0</v>
      </c>
      <c r="N12" s="218">
        <f t="shared" si="0"/>
        <v>200546150936</v>
      </c>
      <c r="O12" s="219">
        <f>(F12/C12)*100</f>
        <v>127.0390588072739</v>
      </c>
      <c r="P12" s="219">
        <f aca="true" t="shared" si="1" ref="P12:P19">(G12/D12)*100</f>
        <v>80.6880199370394</v>
      </c>
      <c r="Q12" s="219">
        <f>(H12/E12)*100</f>
        <v>117.8484271886566</v>
      </c>
    </row>
    <row r="13" spans="1:17" ht="15.75">
      <c r="A13" s="118" t="s">
        <v>10</v>
      </c>
      <c r="B13" s="217" t="s">
        <v>258</v>
      </c>
      <c r="C13" s="218">
        <f aca="true" t="shared" si="2" ref="C13:N13">C14+C20</f>
        <v>940783636119</v>
      </c>
      <c r="D13" s="218">
        <f t="shared" si="2"/>
        <v>298800500062</v>
      </c>
      <c r="E13" s="218">
        <f t="shared" si="2"/>
        <v>641983136057</v>
      </c>
      <c r="F13" s="218">
        <f t="shared" si="2"/>
        <v>805210542673</v>
      </c>
      <c r="G13" s="218">
        <f t="shared" si="2"/>
        <v>241096207062</v>
      </c>
      <c r="H13" s="218">
        <f t="shared" si="2"/>
        <v>564114335611</v>
      </c>
      <c r="I13" s="218">
        <f t="shared" si="2"/>
        <v>0</v>
      </c>
      <c r="J13" s="218">
        <f t="shared" si="2"/>
        <v>0</v>
      </c>
      <c r="K13" s="218">
        <f t="shared" si="2"/>
        <v>0</v>
      </c>
      <c r="L13" s="218">
        <f t="shared" si="2"/>
        <v>0</v>
      </c>
      <c r="M13" s="218">
        <f t="shared" si="2"/>
        <v>0</v>
      </c>
      <c r="N13" s="218">
        <f t="shared" si="2"/>
        <v>0</v>
      </c>
      <c r="O13" s="219">
        <f aca="true" t="shared" si="3" ref="O13:O76">(F13/C13)*100</f>
        <v>85.58934400631398</v>
      </c>
      <c r="P13" s="219">
        <f t="shared" si="1"/>
        <v>80.6880199370394</v>
      </c>
      <c r="Q13" s="219">
        <f>(H13/E13)*100</f>
        <v>87.87058474397585</v>
      </c>
    </row>
    <row r="14" spans="1:17" ht="21.75" customHeight="1">
      <c r="A14" s="118" t="s">
        <v>259</v>
      </c>
      <c r="B14" s="217" t="s">
        <v>260</v>
      </c>
      <c r="C14" s="218">
        <f aca="true" t="shared" si="4" ref="C14:N14">SUM(C15:C19)</f>
        <v>298800500062</v>
      </c>
      <c r="D14" s="218">
        <f t="shared" si="4"/>
        <v>298800500062</v>
      </c>
      <c r="E14" s="218">
        <f t="shared" si="4"/>
        <v>0</v>
      </c>
      <c r="F14" s="218">
        <f t="shared" si="4"/>
        <v>241096207062</v>
      </c>
      <c r="G14" s="218">
        <f t="shared" si="4"/>
        <v>241096207062</v>
      </c>
      <c r="H14" s="218">
        <f t="shared" si="4"/>
        <v>0</v>
      </c>
      <c r="I14" s="218">
        <f t="shared" si="4"/>
        <v>0</v>
      </c>
      <c r="J14" s="218">
        <f t="shared" si="4"/>
        <v>0</v>
      </c>
      <c r="K14" s="218">
        <f t="shared" si="4"/>
        <v>0</v>
      </c>
      <c r="L14" s="218">
        <f t="shared" si="4"/>
        <v>0</v>
      </c>
      <c r="M14" s="218">
        <f t="shared" si="4"/>
        <v>0</v>
      </c>
      <c r="N14" s="218">
        <f t="shared" si="4"/>
        <v>0</v>
      </c>
      <c r="O14" s="219">
        <f t="shared" si="3"/>
        <v>80.6880199370394</v>
      </c>
      <c r="P14" s="219">
        <f t="shared" si="1"/>
        <v>80.6880199370394</v>
      </c>
      <c r="Q14" s="219"/>
    </row>
    <row r="15" spans="1:17" s="224" customFormat="1" ht="15">
      <c r="A15" s="220">
        <v>1</v>
      </c>
      <c r="B15" s="221" t="s">
        <v>368</v>
      </c>
      <c r="C15" s="222">
        <f>D15+E15</f>
        <v>289800500062</v>
      </c>
      <c r="D15" s="222">
        <f>102449000000+27028578000+2650000000+77040578000+85032344062-4400000000</f>
        <v>289800500062</v>
      </c>
      <c r="E15" s="222"/>
      <c r="F15" s="222">
        <f>SUM(G15:N15)</f>
        <v>236299704062</v>
      </c>
      <c r="G15" s="222">
        <f>71648979000+26694862000+2650000000+68410697000+67391669062-496503000</f>
        <v>236299704062</v>
      </c>
      <c r="H15" s="222"/>
      <c r="I15" s="222"/>
      <c r="J15" s="222"/>
      <c r="K15" s="222"/>
      <c r="L15" s="222"/>
      <c r="M15" s="222"/>
      <c r="N15" s="222"/>
      <c r="O15" s="223">
        <f t="shared" si="3"/>
        <v>81.53874959202831</v>
      </c>
      <c r="P15" s="223">
        <f t="shared" si="1"/>
        <v>81.53874959202831</v>
      </c>
      <c r="Q15" s="223"/>
    </row>
    <row r="16" spans="1:17" s="224" customFormat="1" ht="15">
      <c r="A16" s="220">
        <v>2</v>
      </c>
      <c r="B16" s="221" t="s">
        <v>369</v>
      </c>
      <c r="C16" s="222">
        <f>D16+E16</f>
        <v>4400000000</v>
      </c>
      <c r="D16" s="222">
        <v>4400000000</v>
      </c>
      <c r="E16" s="222"/>
      <c r="F16" s="222">
        <f>SUM(G16:N16)</f>
        <v>496503000</v>
      </c>
      <c r="G16" s="222">
        <v>496503000</v>
      </c>
      <c r="H16" s="222"/>
      <c r="I16" s="222"/>
      <c r="J16" s="222"/>
      <c r="K16" s="222"/>
      <c r="L16" s="222"/>
      <c r="M16" s="222"/>
      <c r="N16" s="222"/>
      <c r="O16" s="223">
        <f t="shared" si="3"/>
        <v>11.28415909090909</v>
      </c>
      <c r="P16" s="223">
        <f t="shared" si="1"/>
        <v>11.28415909090909</v>
      </c>
      <c r="Q16" s="223"/>
    </row>
    <row r="17" spans="1:17" s="224" customFormat="1" ht="15">
      <c r="A17" s="220">
        <v>3</v>
      </c>
      <c r="B17" s="221" t="s">
        <v>526</v>
      </c>
      <c r="C17" s="222">
        <f>D17+E17</f>
        <v>300000000</v>
      </c>
      <c r="D17" s="222">
        <v>300000000</v>
      </c>
      <c r="E17" s="222"/>
      <c r="F17" s="222">
        <f>SUM(G17:N17)</f>
        <v>300000000</v>
      </c>
      <c r="G17" s="222">
        <v>300000000</v>
      </c>
      <c r="H17" s="222"/>
      <c r="I17" s="222"/>
      <c r="J17" s="222"/>
      <c r="K17" s="222"/>
      <c r="L17" s="222"/>
      <c r="M17" s="222"/>
      <c r="N17" s="222"/>
      <c r="O17" s="223">
        <f t="shared" si="3"/>
        <v>100</v>
      </c>
      <c r="P17" s="223">
        <f t="shared" si="1"/>
        <v>100</v>
      </c>
      <c r="Q17" s="223"/>
    </row>
    <row r="18" spans="1:17" s="224" customFormat="1" ht="15">
      <c r="A18" s="220">
        <v>4</v>
      </c>
      <c r="B18" s="221" t="s">
        <v>575</v>
      </c>
      <c r="C18" s="222">
        <f>D18+E18</f>
        <v>300000000</v>
      </c>
      <c r="D18" s="222">
        <v>300000000</v>
      </c>
      <c r="E18" s="222"/>
      <c r="F18" s="222">
        <f>SUM(G18:N18)</f>
        <v>0</v>
      </c>
      <c r="G18" s="222"/>
      <c r="H18" s="222"/>
      <c r="I18" s="222"/>
      <c r="J18" s="222"/>
      <c r="K18" s="222"/>
      <c r="L18" s="222"/>
      <c r="M18" s="222"/>
      <c r="N18" s="222"/>
      <c r="O18" s="223"/>
      <c r="P18" s="223"/>
      <c r="Q18" s="223"/>
    </row>
    <row r="19" spans="1:17" s="224" customFormat="1" ht="18.75" customHeight="1">
      <c r="A19" s="220">
        <v>5</v>
      </c>
      <c r="B19" s="221" t="s">
        <v>527</v>
      </c>
      <c r="C19" s="222">
        <f>D19+E19</f>
        <v>4000000000</v>
      </c>
      <c r="D19" s="222">
        <v>4000000000</v>
      </c>
      <c r="E19" s="222"/>
      <c r="F19" s="222">
        <f>SUM(G19:N19)</f>
        <v>4000000000</v>
      </c>
      <c r="G19" s="222">
        <v>4000000000</v>
      </c>
      <c r="H19" s="222"/>
      <c r="I19" s="222"/>
      <c r="J19" s="222"/>
      <c r="K19" s="222"/>
      <c r="L19" s="222"/>
      <c r="M19" s="222"/>
      <c r="N19" s="222"/>
      <c r="O19" s="223">
        <f t="shared" si="3"/>
        <v>100</v>
      </c>
      <c r="P19" s="223">
        <f t="shared" si="1"/>
        <v>100</v>
      </c>
      <c r="Q19" s="223"/>
    </row>
    <row r="20" spans="1:17" s="166" customFormat="1" ht="21.75" customHeight="1">
      <c r="A20" s="118" t="s">
        <v>261</v>
      </c>
      <c r="B20" s="217" t="s">
        <v>262</v>
      </c>
      <c r="C20" s="218">
        <f aca="true" t="shared" si="5" ref="C20:N20">SUM(C21:C109)</f>
        <v>641983136057</v>
      </c>
      <c r="D20" s="218">
        <f t="shared" si="5"/>
        <v>0</v>
      </c>
      <c r="E20" s="218">
        <f t="shared" si="5"/>
        <v>641983136057</v>
      </c>
      <c r="F20" s="218">
        <f t="shared" si="5"/>
        <v>564114335611</v>
      </c>
      <c r="G20" s="218">
        <f t="shared" si="5"/>
        <v>0</v>
      </c>
      <c r="H20" s="218">
        <f t="shared" si="5"/>
        <v>564114335611</v>
      </c>
      <c r="I20" s="218">
        <f t="shared" si="5"/>
        <v>0</v>
      </c>
      <c r="J20" s="218">
        <f t="shared" si="5"/>
        <v>0</v>
      </c>
      <c r="K20" s="218">
        <f t="shared" si="5"/>
        <v>0</v>
      </c>
      <c r="L20" s="218">
        <f t="shared" si="5"/>
        <v>0</v>
      </c>
      <c r="M20" s="218">
        <f t="shared" si="5"/>
        <v>0</v>
      </c>
      <c r="N20" s="218">
        <f t="shared" si="5"/>
        <v>0</v>
      </c>
      <c r="O20" s="219">
        <f t="shared" si="3"/>
        <v>87.87058474397585</v>
      </c>
      <c r="P20" s="219"/>
      <c r="Q20" s="219">
        <f>(H20/E20)*100</f>
        <v>87.87058474397585</v>
      </c>
    </row>
    <row r="21" spans="1:17" s="224" customFormat="1" ht="15">
      <c r="A21" s="225">
        <v>1</v>
      </c>
      <c r="B21" s="221" t="s">
        <v>148</v>
      </c>
      <c r="C21" s="222">
        <f aca="true" t="shared" si="6" ref="C21:C84">D21+E21</f>
        <v>8798095469</v>
      </c>
      <c r="D21" s="222"/>
      <c r="E21" s="226">
        <v>8798095469</v>
      </c>
      <c r="F21" s="222">
        <f aca="true" t="shared" si="7" ref="F21:F84">SUM(G21:N21)</f>
        <v>7571757055</v>
      </c>
      <c r="G21" s="222"/>
      <c r="H21" s="227">
        <v>7571757055</v>
      </c>
      <c r="I21" s="222"/>
      <c r="J21" s="222"/>
      <c r="K21" s="222"/>
      <c r="L21" s="222"/>
      <c r="M21" s="222"/>
      <c r="N21" s="226"/>
      <c r="O21" s="223">
        <f t="shared" si="3"/>
        <v>86.06131953988235</v>
      </c>
      <c r="P21" s="223"/>
      <c r="Q21" s="223">
        <f>(H21/E21)*100</f>
        <v>86.06131953988235</v>
      </c>
    </row>
    <row r="22" spans="1:17" s="224" customFormat="1" ht="15">
      <c r="A22" s="225">
        <v>2</v>
      </c>
      <c r="B22" s="228" t="s">
        <v>149</v>
      </c>
      <c r="C22" s="222">
        <f t="shared" si="6"/>
        <v>1627530259</v>
      </c>
      <c r="D22" s="222"/>
      <c r="E22" s="226">
        <v>1627530259</v>
      </c>
      <c r="F22" s="222">
        <f t="shared" si="7"/>
        <v>1476644172</v>
      </c>
      <c r="G22" s="222"/>
      <c r="H22" s="227">
        <v>1476644172</v>
      </c>
      <c r="I22" s="222"/>
      <c r="J22" s="222"/>
      <c r="K22" s="222"/>
      <c r="L22" s="222"/>
      <c r="M22" s="222"/>
      <c r="N22" s="226"/>
      <c r="O22" s="223">
        <f t="shared" si="3"/>
        <v>90.72913783534146</v>
      </c>
      <c r="P22" s="223"/>
      <c r="Q22" s="223">
        <f>(H22/E22)*100</f>
        <v>90.72913783534146</v>
      </c>
    </row>
    <row r="23" spans="1:17" s="224" customFormat="1" ht="15">
      <c r="A23" s="225">
        <v>3</v>
      </c>
      <c r="B23" s="228" t="s">
        <v>150</v>
      </c>
      <c r="C23" s="222">
        <f t="shared" si="6"/>
        <v>3605666441</v>
      </c>
      <c r="D23" s="222"/>
      <c r="E23" s="226">
        <v>3605666441</v>
      </c>
      <c r="F23" s="222">
        <f t="shared" si="7"/>
        <v>3566494429</v>
      </c>
      <c r="G23" s="222"/>
      <c r="H23" s="229">
        <v>3566494429</v>
      </c>
      <c r="I23" s="222"/>
      <c r="J23" s="222"/>
      <c r="K23" s="222"/>
      <c r="L23" s="222"/>
      <c r="M23" s="222"/>
      <c r="N23" s="226"/>
      <c r="O23" s="223">
        <f t="shared" si="3"/>
        <v>98.91359856378905</v>
      </c>
      <c r="P23" s="223"/>
      <c r="Q23" s="223">
        <f>(H23/E23)*100</f>
        <v>98.91359856378905</v>
      </c>
    </row>
    <row r="24" spans="1:17" s="224" customFormat="1" ht="15">
      <c r="A24" s="225">
        <v>4</v>
      </c>
      <c r="B24" s="228" t="s">
        <v>143</v>
      </c>
      <c r="C24" s="222">
        <f t="shared" si="6"/>
        <v>101724274500</v>
      </c>
      <c r="D24" s="222"/>
      <c r="E24" s="226">
        <f>1099694500+100624580000</f>
        <v>101724274500</v>
      </c>
      <c r="F24" s="222">
        <f t="shared" si="7"/>
        <v>70750081096</v>
      </c>
      <c r="G24" s="222"/>
      <c r="H24" s="227">
        <f>1093331816+69656749280</f>
        <v>70750081096</v>
      </c>
      <c r="I24" s="222"/>
      <c r="J24" s="222"/>
      <c r="K24" s="222"/>
      <c r="L24" s="222"/>
      <c r="M24" s="222"/>
      <c r="N24" s="226"/>
      <c r="O24" s="223">
        <f t="shared" si="3"/>
        <v>69.55083380417719</v>
      </c>
      <c r="P24" s="223"/>
      <c r="Q24" s="223">
        <f>(H24/E24)*100</f>
        <v>69.55083380417719</v>
      </c>
    </row>
    <row r="25" spans="1:17" s="224" customFormat="1" ht="15">
      <c r="A25" s="225">
        <v>5</v>
      </c>
      <c r="B25" s="228" t="s">
        <v>139</v>
      </c>
      <c r="C25" s="222">
        <f t="shared" si="6"/>
        <v>8642125072</v>
      </c>
      <c r="D25" s="222"/>
      <c r="E25" s="226">
        <f>1834070000+300000000+6408055072+100000000</f>
        <v>8642125072</v>
      </c>
      <c r="F25" s="222">
        <f t="shared" si="7"/>
        <v>6417428636</v>
      </c>
      <c r="G25" s="222"/>
      <c r="H25" s="227">
        <f>1834070000+4583358636</f>
        <v>6417428636</v>
      </c>
      <c r="I25" s="222"/>
      <c r="J25" s="222"/>
      <c r="K25" s="222"/>
      <c r="L25" s="222"/>
      <c r="M25" s="222"/>
      <c r="N25" s="226"/>
      <c r="O25" s="223">
        <f t="shared" si="3"/>
        <v>74.25753020853759</v>
      </c>
      <c r="P25" s="223"/>
      <c r="Q25" s="223">
        <f aca="true" t="shared" si="8" ref="Q25:Q88">(H25/E25)*100</f>
        <v>74.25753020853759</v>
      </c>
    </row>
    <row r="26" spans="1:17" s="224" customFormat="1" ht="15">
      <c r="A26" s="225">
        <v>6</v>
      </c>
      <c r="B26" s="228" t="s">
        <v>151</v>
      </c>
      <c r="C26" s="222">
        <f t="shared" si="6"/>
        <v>664760458</v>
      </c>
      <c r="D26" s="222"/>
      <c r="E26" s="226">
        <v>664760458</v>
      </c>
      <c r="F26" s="222">
        <f t="shared" si="7"/>
        <v>627396900</v>
      </c>
      <c r="G26" s="222"/>
      <c r="H26" s="229">
        <v>627396900</v>
      </c>
      <c r="I26" s="222"/>
      <c r="J26" s="222"/>
      <c r="K26" s="222"/>
      <c r="L26" s="222"/>
      <c r="M26" s="222"/>
      <c r="N26" s="226"/>
      <c r="O26" s="223">
        <f t="shared" si="3"/>
        <v>94.37939523171819</v>
      </c>
      <c r="P26" s="223"/>
      <c r="Q26" s="223">
        <f t="shared" si="8"/>
        <v>94.37939523171819</v>
      </c>
    </row>
    <row r="27" spans="1:17" s="224" customFormat="1" ht="15">
      <c r="A27" s="225">
        <v>7</v>
      </c>
      <c r="B27" s="228" t="s">
        <v>112</v>
      </c>
      <c r="C27" s="222">
        <f t="shared" si="6"/>
        <v>33052457149</v>
      </c>
      <c r="D27" s="222"/>
      <c r="E27" s="226">
        <f>2003788076+31048669073</f>
        <v>33052457149</v>
      </c>
      <c r="F27" s="222">
        <f t="shared" si="7"/>
        <v>16027082985</v>
      </c>
      <c r="G27" s="222"/>
      <c r="H27" s="230">
        <f>1862589864+14164493121</f>
        <v>16027082985</v>
      </c>
      <c r="I27" s="222"/>
      <c r="J27" s="222"/>
      <c r="K27" s="222"/>
      <c r="L27" s="222"/>
      <c r="M27" s="222"/>
      <c r="N27" s="226"/>
      <c r="O27" s="223">
        <f t="shared" si="3"/>
        <v>48.48983817678105</v>
      </c>
      <c r="P27" s="223"/>
      <c r="Q27" s="223">
        <f t="shared" si="8"/>
        <v>48.48983817678105</v>
      </c>
    </row>
    <row r="28" spans="1:17" s="224" customFormat="1" ht="15">
      <c r="A28" s="225">
        <v>8</v>
      </c>
      <c r="B28" s="228" t="s">
        <v>152</v>
      </c>
      <c r="C28" s="222">
        <f t="shared" si="6"/>
        <v>20479790192</v>
      </c>
      <c r="D28" s="222"/>
      <c r="E28" s="226">
        <f>798076600+19681713592</f>
        <v>20479790192</v>
      </c>
      <c r="F28" s="222">
        <f t="shared" si="7"/>
        <v>20305976276</v>
      </c>
      <c r="G28" s="222"/>
      <c r="H28" s="229">
        <f>775033000+19530943276</f>
        <v>20305976276</v>
      </c>
      <c r="I28" s="222"/>
      <c r="J28" s="222"/>
      <c r="K28" s="222"/>
      <c r="L28" s="222"/>
      <c r="M28" s="222"/>
      <c r="N28" s="226"/>
      <c r="O28" s="223">
        <f t="shared" si="3"/>
        <v>99.1512905436507</v>
      </c>
      <c r="P28" s="223"/>
      <c r="Q28" s="223">
        <f t="shared" si="8"/>
        <v>99.1512905436507</v>
      </c>
    </row>
    <row r="29" spans="1:17" s="224" customFormat="1" ht="15">
      <c r="A29" s="225">
        <v>9</v>
      </c>
      <c r="B29" s="228" t="s">
        <v>371</v>
      </c>
      <c r="C29" s="222">
        <f t="shared" si="6"/>
        <v>1261713808</v>
      </c>
      <c r="D29" s="222"/>
      <c r="E29" s="226">
        <f>857913808+248800000+100000000+55000000</f>
        <v>1261713808</v>
      </c>
      <c r="F29" s="222">
        <f t="shared" si="7"/>
        <v>1259715408</v>
      </c>
      <c r="G29" s="222"/>
      <c r="H29" s="227">
        <f>855915408+248800000+100000000+55000000</f>
        <v>1259715408</v>
      </c>
      <c r="I29" s="222"/>
      <c r="J29" s="222"/>
      <c r="K29" s="222"/>
      <c r="L29" s="222"/>
      <c r="M29" s="222"/>
      <c r="N29" s="226"/>
      <c r="O29" s="223">
        <f t="shared" si="3"/>
        <v>99.84161225887131</v>
      </c>
      <c r="P29" s="223"/>
      <c r="Q29" s="223">
        <f t="shared" si="8"/>
        <v>99.84161225887131</v>
      </c>
    </row>
    <row r="30" spans="1:17" s="224" customFormat="1" ht="15">
      <c r="A30" s="225">
        <v>10</v>
      </c>
      <c r="B30" s="228" t="s">
        <v>145</v>
      </c>
      <c r="C30" s="222">
        <f t="shared" si="6"/>
        <v>35055276378</v>
      </c>
      <c r="D30" s="222"/>
      <c r="E30" s="226">
        <f>1546359978+31004916400+2504000000</f>
        <v>35055276378</v>
      </c>
      <c r="F30" s="222">
        <f t="shared" si="7"/>
        <v>34143329949</v>
      </c>
      <c r="G30" s="222"/>
      <c r="H30" s="227">
        <f>1421813486+30246114853+2475401610</f>
        <v>34143329949</v>
      </c>
      <c r="I30" s="222"/>
      <c r="J30" s="222"/>
      <c r="K30" s="222"/>
      <c r="L30" s="222"/>
      <c r="M30" s="222"/>
      <c r="N30" s="226"/>
      <c r="O30" s="223">
        <f t="shared" si="3"/>
        <v>97.39854731377238</v>
      </c>
      <c r="P30" s="223"/>
      <c r="Q30" s="223">
        <f t="shared" si="8"/>
        <v>97.39854731377238</v>
      </c>
    </row>
    <row r="31" spans="1:17" s="224" customFormat="1" ht="15">
      <c r="A31" s="225">
        <v>11</v>
      </c>
      <c r="B31" s="228" t="s">
        <v>141</v>
      </c>
      <c r="C31" s="222">
        <f t="shared" si="6"/>
        <v>8111692398</v>
      </c>
      <c r="D31" s="222"/>
      <c r="E31" s="226">
        <f>8093292398+18400000</f>
        <v>8111692398</v>
      </c>
      <c r="F31" s="222">
        <f t="shared" si="7"/>
        <v>7752085074</v>
      </c>
      <c r="G31" s="222"/>
      <c r="H31" s="227">
        <f>7733685074+18400000</f>
        <v>7752085074</v>
      </c>
      <c r="I31" s="222"/>
      <c r="J31" s="222"/>
      <c r="K31" s="222"/>
      <c r="L31" s="222"/>
      <c r="M31" s="222"/>
      <c r="N31" s="226"/>
      <c r="O31" s="223">
        <f t="shared" si="3"/>
        <v>95.56680275390295</v>
      </c>
      <c r="P31" s="223"/>
      <c r="Q31" s="223">
        <f t="shared" si="8"/>
        <v>95.56680275390295</v>
      </c>
    </row>
    <row r="32" spans="1:17" s="224" customFormat="1" ht="15">
      <c r="A32" s="225">
        <v>12</v>
      </c>
      <c r="B32" s="228" t="s">
        <v>153</v>
      </c>
      <c r="C32" s="222">
        <f t="shared" si="6"/>
        <v>99209902750</v>
      </c>
      <c r="D32" s="222"/>
      <c r="E32" s="226">
        <f>1648192772+202440000+97359269978</f>
        <v>99209902750</v>
      </c>
      <c r="F32" s="222">
        <f t="shared" si="7"/>
        <v>95510975712</v>
      </c>
      <c r="G32" s="222"/>
      <c r="H32" s="227">
        <f>1648192772+137440000+93725342940</f>
        <v>95510975712</v>
      </c>
      <c r="I32" s="222"/>
      <c r="J32" s="222"/>
      <c r="K32" s="222"/>
      <c r="L32" s="222"/>
      <c r="M32" s="222"/>
      <c r="N32" s="226"/>
      <c r="O32" s="223">
        <f t="shared" si="3"/>
        <v>96.27161509539933</v>
      </c>
      <c r="P32" s="223"/>
      <c r="Q32" s="223">
        <f t="shared" si="8"/>
        <v>96.27161509539933</v>
      </c>
    </row>
    <row r="33" spans="1:17" s="224" customFormat="1" ht="15">
      <c r="A33" s="225">
        <v>13</v>
      </c>
      <c r="B33" s="228" t="s">
        <v>372</v>
      </c>
      <c r="C33" s="222">
        <f t="shared" si="6"/>
        <v>1200162766</v>
      </c>
      <c r="D33" s="222"/>
      <c r="E33" s="226">
        <v>1200162766</v>
      </c>
      <c r="F33" s="222">
        <f t="shared" si="7"/>
        <v>1111348336</v>
      </c>
      <c r="G33" s="222"/>
      <c r="H33" s="229">
        <v>1111348336</v>
      </c>
      <c r="I33" s="222"/>
      <c r="J33" s="222"/>
      <c r="K33" s="222"/>
      <c r="L33" s="222"/>
      <c r="M33" s="222"/>
      <c r="N33" s="226"/>
      <c r="O33" s="223">
        <f t="shared" si="3"/>
        <v>92.59980125062471</v>
      </c>
      <c r="P33" s="223"/>
      <c r="Q33" s="223">
        <f t="shared" si="8"/>
        <v>92.59980125062471</v>
      </c>
    </row>
    <row r="34" spans="1:17" s="224" customFormat="1" ht="15.75" customHeight="1">
      <c r="A34" s="225">
        <v>14</v>
      </c>
      <c r="B34" s="231" t="s">
        <v>576</v>
      </c>
      <c r="C34" s="222">
        <f t="shared" si="6"/>
        <v>7692747877</v>
      </c>
      <c r="D34" s="222"/>
      <c r="E34" s="226">
        <f>6492047877+1200700000</f>
        <v>7692747877</v>
      </c>
      <c r="F34" s="222">
        <f t="shared" si="7"/>
        <v>7692747877</v>
      </c>
      <c r="G34" s="222"/>
      <c r="H34" s="226">
        <f>6492047877+1200700000</f>
        <v>7692747877</v>
      </c>
      <c r="I34" s="222"/>
      <c r="J34" s="222"/>
      <c r="K34" s="222"/>
      <c r="L34" s="222"/>
      <c r="M34" s="222"/>
      <c r="N34" s="226"/>
      <c r="O34" s="223">
        <f t="shared" si="3"/>
        <v>100</v>
      </c>
      <c r="P34" s="223"/>
      <c r="Q34" s="223">
        <f t="shared" si="8"/>
        <v>100</v>
      </c>
    </row>
    <row r="35" spans="1:17" s="224" customFormat="1" ht="15">
      <c r="A35" s="225">
        <v>15</v>
      </c>
      <c r="B35" s="232" t="s">
        <v>528</v>
      </c>
      <c r="C35" s="222">
        <f t="shared" si="6"/>
        <v>11315241542</v>
      </c>
      <c r="D35" s="222"/>
      <c r="E35" s="226">
        <v>11315241542</v>
      </c>
      <c r="F35" s="222">
        <f t="shared" si="7"/>
        <v>9934408783</v>
      </c>
      <c r="G35" s="222"/>
      <c r="H35" s="226">
        <v>9934408783</v>
      </c>
      <c r="I35" s="222"/>
      <c r="J35" s="222"/>
      <c r="K35" s="222"/>
      <c r="L35" s="222"/>
      <c r="M35" s="222"/>
      <c r="N35" s="226"/>
      <c r="O35" s="223">
        <f t="shared" si="3"/>
        <v>87.79670099065395</v>
      </c>
      <c r="P35" s="223"/>
      <c r="Q35" s="223">
        <f t="shared" si="8"/>
        <v>87.79670099065395</v>
      </c>
    </row>
    <row r="36" spans="1:17" s="224" customFormat="1" ht="15">
      <c r="A36" s="225">
        <v>16</v>
      </c>
      <c r="B36" s="232" t="s">
        <v>142</v>
      </c>
      <c r="C36" s="222">
        <f t="shared" si="6"/>
        <v>1588012135</v>
      </c>
      <c r="D36" s="222"/>
      <c r="E36" s="226">
        <f>72243703+242000000+1200000000+43868432+29900000</f>
        <v>1588012135</v>
      </c>
      <c r="F36" s="222">
        <f t="shared" si="7"/>
        <v>741198949</v>
      </c>
      <c r="G36" s="222"/>
      <c r="H36" s="226">
        <f>290413306+29200000+421585643</f>
        <v>741198949</v>
      </c>
      <c r="I36" s="222"/>
      <c r="J36" s="222"/>
      <c r="K36" s="222"/>
      <c r="L36" s="222"/>
      <c r="M36" s="222"/>
      <c r="N36" s="226"/>
      <c r="O36" s="223">
        <f t="shared" si="3"/>
        <v>46.67464011539181</v>
      </c>
      <c r="P36" s="223"/>
      <c r="Q36" s="223">
        <f t="shared" si="8"/>
        <v>46.67464011539181</v>
      </c>
    </row>
    <row r="37" spans="1:17" s="224" customFormat="1" ht="15">
      <c r="A37" s="225">
        <v>17</v>
      </c>
      <c r="B37" s="232" t="s">
        <v>155</v>
      </c>
      <c r="C37" s="222">
        <f t="shared" si="6"/>
        <v>1912134153</v>
      </c>
      <c r="D37" s="222"/>
      <c r="E37" s="226">
        <f>93185933+1345000000+473948220</f>
        <v>1912134153</v>
      </c>
      <c r="F37" s="222">
        <f t="shared" si="7"/>
        <v>1840888320</v>
      </c>
      <c r="G37" s="222"/>
      <c r="H37" s="226">
        <v>1840888320</v>
      </c>
      <c r="I37" s="222"/>
      <c r="J37" s="222"/>
      <c r="K37" s="222"/>
      <c r="L37" s="222"/>
      <c r="M37" s="222"/>
      <c r="N37" s="226"/>
      <c r="O37" s="223">
        <f t="shared" si="3"/>
        <v>96.27401493309345</v>
      </c>
      <c r="P37" s="223"/>
      <c r="Q37" s="223">
        <f t="shared" si="8"/>
        <v>96.27401493309345</v>
      </c>
    </row>
    <row r="38" spans="1:17" s="224" customFormat="1" ht="15">
      <c r="A38" s="225">
        <v>18</v>
      </c>
      <c r="B38" s="232" t="s">
        <v>529</v>
      </c>
      <c r="C38" s="222">
        <f t="shared" si="6"/>
        <v>2463450000</v>
      </c>
      <c r="D38" s="222"/>
      <c r="E38" s="226">
        <f>701000000+1762450000</f>
        <v>2463450000</v>
      </c>
      <c r="F38" s="222">
        <f t="shared" si="7"/>
        <v>2450376286</v>
      </c>
      <c r="G38" s="222"/>
      <c r="H38" s="226">
        <v>2450376286</v>
      </c>
      <c r="I38" s="222"/>
      <c r="J38" s="222"/>
      <c r="K38" s="222"/>
      <c r="L38" s="222"/>
      <c r="M38" s="222"/>
      <c r="N38" s="226"/>
      <c r="O38" s="223">
        <f t="shared" si="3"/>
        <v>99.46929249629585</v>
      </c>
      <c r="P38" s="223"/>
      <c r="Q38" s="223">
        <f t="shared" si="8"/>
        <v>99.46929249629585</v>
      </c>
    </row>
    <row r="39" spans="1:17" s="224" customFormat="1" ht="15">
      <c r="A39" s="225">
        <v>19</v>
      </c>
      <c r="B39" s="232" t="s">
        <v>154</v>
      </c>
      <c r="C39" s="222">
        <f t="shared" si="6"/>
        <v>909675536</v>
      </c>
      <c r="D39" s="222"/>
      <c r="E39" s="226">
        <f>42637536+783000000+84038000</f>
        <v>909675536</v>
      </c>
      <c r="F39" s="222">
        <f t="shared" si="7"/>
        <v>809961795</v>
      </c>
      <c r="G39" s="222"/>
      <c r="H39" s="226">
        <v>809961795</v>
      </c>
      <c r="I39" s="222"/>
      <c r="J39" s="222"/>
      <c r="K39" s="222"/>
      <c r="L39" s="222"/>
      <c r="M39" s="222"/>
      <c r="N39" s="226"/>
      <c r="O39" s="223">
        <f t="shared" si="3"/>
        <v>89.0385376924108</v>
      </c>
      <c r="P39" s="223"/>
      <c r="Q39" s="223">
        <f t="shared" si="8"/>
        <v>89.0385376924108</v>
      </c>
    </row>
    <row r="40" spans="1:17" s="224" customFormat="1" ht="15">
      <c r="A40" s="225">
        <v>20</v>
      </c>
      <c r="B40" s="232" t="s">
        <v>157</v>
      </c>
      <c r="C40" s="222">
        <f t="shared" si="6"/>
        <v>877677452</v>
      </c>
      <c r="D40" s="222"/>
      <c r="E40" s="226">
        <f>45777452+631000000+200900000</f>
        <v>877677452</v>
      </c>
      <c r="F40" s="222">
        <f t="shared" si="7"/>
        <v>819396497</v>
      </c>
      <c r="G40" s="222"/>
      <c r="H40" s="226">
        <v>819396497</v>
      </c>
      <c r="I40" s="222"/>
      <c r="J40" s="222"/>
      <c r="K40" s="222"/>
      <c r="L40" s="222"/>
      <c r="M40" s="222"/>
      <c r="N40" s="226"/>
      <c r="O40" s="223">
        <f t="shared" si="3"/>
        <v>93.35963857027512</v>
      </c>
      <c r="P40" s="223"/>
      <c r="Q40" s="223">
        <f t="shared" si="8"/>
        <v>93.35963857027512</v>
      </c>
    </row>
    <row r="41" spans="1:17" s="224" customFormat="1" ht="15">
      <c r="A41" s="225">
        <v>21</v>
      </c>
      <c r="B41" s="232" t="s">
        <v>156</v>
      </c>
      <c r="C41" s="222">
        <f t="shared" si="6"/>
        <v>1089000000</v>
      </c>
      <c r="D41" s="222"/>
      <c r="E41" s="226">
        <f>674000000+415000000</f>
        <v>1089000000</v>
      </c>
      <c r="F41" s="222">
        <f t="shared" si="7"/>
        <v>1054700083</v>
      </c>
      <c r="G41" s="222"/>
      <c r="H41" s="226">
        <v>1054700083</v>
      </c>
      <c r="I41" s="222"/>
      <c r="J41" s="222"/>
      <c r="K41" s="222"/>
      <c r="L41" s="222"/>
      <c r="M41" s="222"/>
      <c r="N41" s="226"/>
      <c r="O41" s="223">
        <f t="shared" si="3"/>
        <v>96.8503290174472</v>
      </c>
      <c r="P41" s="223"/>
      <c r="Q41" s="223">
        <f t="shared" si="8"/>
        <v>96.8503290174472</v>
      </c>
    </row>
    <row r="42" spans="1:17" s="224" customFormat="1" ht="15">
      <c r="A42" s="225">
        <v>22</v>
      </c>
      <c r="B42" s="232" t="s">
        <v>161</v>
      </c>
      <c r="C42" s="222">
        <f t="shared" si="6"/>
        <v>338000000</v>
      </c>
      <c r="D42" s="222"/>
      <c r="E42" s="226">
        <f>265000000+73000000</f>
        <v>338000000</v>
      </c>
      <c r="F42" s="222">
        <f t="shared" si="7"/>
        <v>327469667</v>
      </c>
      <c r="G42" s="222"/>
      <c r="H42" s="226">
        <v>327469667</v>
      </c>
      <c r="I42" s="222"/>
      <c r="J42" s="222"/>
      <c r="K42" s="222"/>
      <c r="L42" s="222"/>
      <c r="M42" s="222"/>
      <c r="N42" s="226"/>
      <c r="O42" s="223">
        <f t="shared" si="3"/>
        <v>96.88451686390532</v>
      </c>
      <c r="P42" s="223"/>
      <c r="Q42" s="223">
        <f t="shared" si="8"/>
        <v>96.88451686390532</v>
      </c>
    </row>
    <row r="43" spans="1:17" s="224" customFormat="1" ht="15">
      <c r="A43" s="225">
        <v>23</v>
      </c>
      <c r="B43" s="232" t="s">
        <v>163</v>
      </c>
      <c r="C43" s="222">
        <f t="shared" si="6"/>
        <v>294534030</v>
      </c>
      <c r="D43" s="222"/>
      <c r="E43" s="226">
        <f>31658030+242007806+2992194+17876000</f>
        <v>294534030</v>
      </c>
      <c r="F43" s="222">
        <f t="shared" si="7"/>
        <v>233466553</v>
      </c>
      <c r="G43" s="222"/>
      <c r="H43" s="226">
        <v>233466553</v>
      </c>
      <c r="I43" s="222"/>
      <c r="J43" s="222"/>
      <c r="K43" s="222"/>
      <c r="L43" s="222"/>
      <c r="M43" s="222"/>
      <c r="N43" s="226"/>
      <c r="O43" s="223">
        <f t="shared" si="3"/>
        <v>79.26641040425787</v>
      </c>
      <c r="P43" s="223"/>
      <c r="Q43" s="223">
        <f t="shared" si="8"/>
        <v>79.26641040425787</v>
      </c>
    </row>
    <row r="44" spans="1:17" s="224" customFormat="1" ht="15">
      <c r="A44" s="225">
        <v>24</v>
      </c>
      <c r="B44" s="233" t="s">
        <v>164</v>
      </c>
      <c r="C44" s="222">
        <f t="shared" si="6"/>
        <v>629000000</v>
      </c>
      <c r="D44" s="222"/>
      <c r="E44" s="226">
        <f>503000000+126000000</f>
        <v>629000000</v>
      </c>
      <c r="F44" s="222">
        <f t="shared" si="7"/>
        <v>520495699</v>
      </c>
      <c r="G44" s="222"/>
      <c r="H44" s="226">
        <v>520495699</v>
      </c>
      <c r="I44" s="222"/>
      <c r="J44" s="222"/>
      <c r="K44" s="222"/>
      <c r="L44" s="222"/>
      <c r="M44" s="222"/>
      <c r="N44" s="226"/>
      <c r="O44" s="223">
        <f t="shared" si="3"/>
        <v>82.74971367249603</v>
      </c>
      <c r="P44" s="223"/>
      <c r="Q44" s="223">
        <f t="shared" si="8"/>
        <v>82.74971367249603</v>
      </c>
    </row>
    <row r="45" spans="1:17" s="224" customFormat="1" ht="15">
      <c r="A45" s="225">
        <v>25</v>
      </c>
      <c r="B45" s="232" t="s">
        <v>159</v>
      </c>
      <c r="C45" s="222">
        <f t="shared" si="6"/>
        <v>560609010</v>
      </c>
      <c r="D45" s="222"/>
      <c r="E45" s="226">
        <f>158165410+325000000+77443600</f>
        <v>560609010</v>
      </c>
      <c r="F45" s="222">
        <f t="shared" si="7"/>
        <v>283376570</v>
      </c>
      <c r="G45" s="222"/>
      <c r="H45" s="226">
        <v>283376570</v>
      </c>
      <c r="I45" s="222"/>
      <c r="J45" s="222"/>
      <c r="K45" s="222"/>
      <c r="L45" s="222"/>
      <c r="M45" s="222"/>
      <c r="N45" s="226"/>
      <c r="O45" s="223">
        <f t="shared" si="3"/>
        <v>50.54798708996846</v>
      </c>
      <c r="P45" s="223"/>
      <c r="Q45" s="223">
        <f t="shared" si="8"/>
        <v>50.54798708996846</v>
      </c>
    </row>
    <row r="46" spans="1:17" s="224" customFormat="1" ht="15">
      <c r="A46" s="225">
        <v>26</v>
      </c>
      <c r="B46" s="232" t="s">
        <v>160</v>
      </c>
      <c r="C46" s="222">
        <f t="shared" si="6"/>
        <v>277300292</v>
      </c>
      <c r="D46" s="222"/>
      <c r="E46" s="226">
        <f>235000000+16000000+26300292</f>
        <v>277300292</v>
      </c>
      <c r="F46" s="222">
        <f t="shared" si="7"/>
        <v>273164718</v>
      </c>
      <c r="G46" s="222"/>
      <c r="H46" s="226">
        <v>273164718</v>
      </c>
      <c r="I46" s="222"/>
      <c r="J46" s="222"/>
      <c r="K46" s="222"/>
      <c r="L46" s="222"/>
      <c r="M46" s="222"/>
      <c r="N46" s="226"/>
      <c r="O46" s="223">
        <f t="shared" si="3"/>
        <v>98.50862977093439</v>
      </c>
      <c r="P46" s="223"/>
      <c r="Q46" s="223">
        <f t="shared" si="8"/>
        <v>98.50862977093439</v>
      </c>
    </row>
    <row r="47" spans="1:17" s="224" customFormat="1" ht="15" customHeight="1">
      <c r="A47" s="225">
        <v>27</v>
      </c>
      <c r="B47" s="232" t="s">
        <v>158</v>
      </c>
      <c r="C47" s="222">
        <f t="shared" si="6"/>
        <v>282748591</v>
      </c>
      <c r="D47" s="222"/>
      <c r="E47" s="226">
        <f>35470601+220000000+7277990+20000000</f>
        <v>282748591</v>
      </c>
      <c r="F47" s="222">
        <f t="shared" si="7"/>
        <v>243330388</v>
      </c>
      <c r="G47" s="222"/>
      <c r="H47" s="226">
        <v>243330388</v>
      </c>
      <c r="I47" s="222"/>
      <c r="J47" s="222"/>
      <c r="K47" s="222"/>
      <c r="L47" s="222"/>
      <c r="M47" s="222"/>
      <c r="N47" s="226"/>
      <c r="O47" s="223">
        <f t="shared" si="3"/>
        <v>86.05892151024017</v>
      </c>
      <c r="P47" s="223"/>
      <c r="Q47" s="223">
        <f t="shared" si="8"/>
        <v>86.05892151024017</v>
      </c>
    </row>
    <row r="48" spans="1:17" s="224" customFormat="1" ht="30">
      <c r="A48" s="225">
        <v>28</v>
      </c>
      <c r="B48" s="234" t="s">
        <v>162</v>
      </c>
      <c r="C48" s="222">
        <f t="shared" si="6"/>
        <v>60000000</v>
      </c>
      <c r="D48" s="222"/>
      <c r="E48" s="226">
        <v>60000000</v>
      </c>
      <c r="F48" s="222">
        <f t="shared" si="7"/>
        <v>60000000</v>
      </c>
      <c r="G48" s="222"/>
      <c r="H48" s="226">
        <v>60000000</v>
      </c>
      <c r="I48" s="222"/>
      <c r="J48" s="222"/>
      <c r="K48" s="222"/>
      <c r="L48" s="222"/>
      <c r="M48" s="222"/>
      <c r="N48" s="226"/>
      <c r="O48" s="223">
        <f t="shared" si="3"/>
        <v>100</v>
      </c>
      <c r="P48" s="223"/>
      <c r="Q48" s="223">
        <f t="shared" si="8"/>
        <v>100</v>
      </c>
    </row>
    <row r="49" spans="1:17" s="224" customFormat="1" ht="15">
      <c r="A49" s="225">
        <v>29</v>
      </c>
      <c r="B49" s="232" t="s">
        <v>530</v>
      </c>
      <c r="C49" s="222">
        <f t="shared" si="6"/>
        <v>20773578000</v>
      </c>
      <c r="D49" s="222"/>
      <c r="E49" s="226">
        <f>8031000000+12742578000</f>
        <v>20773578000</v>
      </c>
      <c r="F49" s="222">
        <f t="shared" si="7"/>
        <v>20576548964</v>
      </c>
      <c r="G49" s="222"/>
      <c r="H49" s="226">
        <v>20576548964</v>
      </c>
      <c r="I49" s="222"/>
      <c r="J49" s="222"/>
      <c r="K49" s="222"/>
      <c r="L49" s="222"/>
      <c r="M49" s="222"/>
      <c r="N49" s="226"/>
      <c r="O49" s="223">
        <f t="shared" si="3"/>
        <v>99.05154020169275</v>
      </c>
      <c r="P49" s="223"/>
      <c r="Q49" s="223">
        <f t="shared" si="8"/>
        <v>99.05154020169275</v>
      </c>
    </row>
    <row r="50" spans="1:17" s="224" customFormat="1" ht="15">
      <c r="A50" s="225">
        <v>30</v>
      </c>
      <c r="B50" s="232" t="s">
        <v>531</v>
      </c>
      <c r="C50" s="222">
        <f t="shared" si="6"/>
        <v>5434280000</v>
      </c>
      <c r="D50" s="222"/>
      <c r="E50" s="226">
        <f>1279000000+4155280000</f>
        <v>5434280000</v>
      </c>
      <c r="F50" s="222">
        <f t="shared" si="7"/>
        <v>4870130000</v>
      </c>
      <c r="G50" s="222"/>
      <c r="H50" s="226">
        <v>4870130000</v>
      </c>
      <c r="I50" s="222"/>
      <c r="J50" s="222"/>
      <c r="K50" s="222"/>
      <c r="L50" s="222"/>
      <c r="M50" s="222"/>
      <c r="N50" s="226"/>
      <c r="O50" s="223">
        <f t="shared" si="3"/>
        <v>89.61867993552045</v>
      </c>
      <c r="P50" s="223"/>
      <c r="Q50" s="223">
        <f t="shared" si="8"/>
        <v>89.61867993552045</v>
      </c>
    </row>
    <row r="51" spans="1:17" s="224" customFormat="1" ht="15">
      <c r="A51" s="225">
        <v>31</v>
      </c>
      <c r="B51" s="235" t="s">
        <v>577</v>
      </c>
      <c r="C51" s="222">
        <f t="shared" si="6"/>
        <v>3527167099</v>
      </c>
      <c r="D51" s="222"/>
      <c r="E51" s="226">
        <f>163576922+1157000000+2206590177</f>
        <v>3527167099</v>
      </c>
      <c r="F51" s="222">
        <f t="shared" si="7"/>
        <v>2897537087</v>
      </c>
      <c r="G51" s="222"/>
      <c r="H51" s="226">
        <v>2897537087</v>
      </c>
      <c r="I51" s="222"/>
      <c r="J51" s="222"/>
      <c r="K51" s="222"/>
      <c r="L51" s="222"/>
      <c r="M51" s="222"/>
      <c r="N51" s="226"/>
      <c r="O51" s="223">
        <f t="shared" si="3"/>
        <v>82.14913004324323</v>
      </c>
      <c r="P51" s="223"/>
      <c r="Q51" s="223">
        <f t="shared" si="8"/>
        <v>82.14913004324323</v>
      </c>
    </row>
    <row r="52" spans="1:17" s="224" customFormat="1" ht="15">
      <c r="A52" s="225">
        <v>32</v>
      </c>
      <c r="B52" s="236" t="s">
        <v>373</v>
      </c>
      <c r="C52" s="222">
        <f t="shared" si="6"/>
        <v>3307442756</v>
      </c>
      <c r="D52" s="222"/>
      <c r="E52" s="226">
        <f>21642515+2062000000+1223800241</f>
        <v>3307442756</v>
      </c>
      <c r="F52" s="222">
        <f t="shared" si="7"/>
        <v>3231472163</v>
      </c>
      <c r="G52" s="222"/>
      <c r="H52" s="226">
        <v>3231472163</v>
      </c>
      <c r="I52" s="222"/>
      <c r="J52" s="222"/>
      <c r="K52" s="222"/>
      <c r="L52" s="222"/>
      <c r="M52" s="222"/>
      <c r="N52" s="226"/>
      <c r="O52" s="223">
        <f t="shared" si="3"/>
        <v>97.70304133420956</v>
      </c>
      <c r="P52" s="223"/>
      <c r="Q52" s="223">
        <f t="shared" si="8"/>
        <v>97.70304133420956</v>
      </c>
    </row>
    <row r="53" spans="1:17" s="224" customFormat="1" ht="15">
      <c r="A53" s="225">
        <v>33</v>
      </c>
      <c r="B53" s="233" t="s">
        <v>115</v>
      </c>
      <c r="C53" s="222">
        <f t="shared" si="6"/>
        <v>2415835308</v>
      </c>
      <c r="D53" s="222"/>
      <c r="E53" s="226">
        <v>2415835308</v>
      </c>
      <c r="F53" s="222">
        <f t="shared" si="7"/>
        <v>2352355067</v>
      </c>
      <c r="G53" s="222"/>
      <c r="H53" s="222">
        <v>2352355067</v>
      </c>
      <c r="I53" s="222"/>
      <c r="J53" s="222"/>
      <c r="K53" s="222"/>
      <c r="L53" s="222"/>
      <c r="M53" s="222"/>
      <c r="N53" s="226"/>
      <c r="O53" s="223">
        <f t="shared" si="3"/>
        <v>97.37232745999754</v>
      </c>
      <c r="P53" s="223"/>
      <c r="Q53" s="223">
        <f t="shared" si="8"/>
        <v>97.37232745999754</v>
      </c>
    </row>
    <row r="54" spans="1:17" s="224" customFormat="1" ht="15">
      <c r="A54" s="225">
        <v>34</v>
      </c>
      <c r="B54" s="236" t="s">
        <v>263</v>
      </c>
      <c r="C54" s="222">
        <f t="shared" si="6"/>
        <v>5475993898</v>
      </c>
      <c r="D54" s="222"/>
      <c r="E54" s="226">
        <v>5475993898</v>
      </c>
      <c r="F54" s="222">
        <f t="shared" si="7"/>
        <v>5075305632</v>
      </c>
      <c r="G54" s="222"/>
      <c r="H54" s="222">
        <v>5075305632</v>
      </c>
      <c r="I54" s="222"/>
      <c r="J54" s="222"/>
      <c r="K54" s="222"/>
      <c r="L54" s="222"/>
      <c r="M54" s="222"/>
      <c r="N54" s="226"/>
      <c r="O54" s="223">
        <f t="shared" si="3"/>
        <v>92.68282117431971</v>
      </c>
      <c r="P54" s="223"/>
      <c r="Q54" s="223">
        <f t="shared" si="8"/>
        <v>92.68282117431971</v>
      </c>
    </row>
    <row r="55" spans="1:17" s="224" customFormat="1" ht="15">
      <c r="A55" s="225">
        <v>35</v>
      </c>
      <c r="B55" s="233" t="s">
        <v>264</v>
      </c>
      <c r="C55" s="222">
        <f t="shared" si="6"/>
        <v>3672837366</v>
      </c>
      <c r="D55" s="222"/>
      <c r="E55" s="226">
        <v>3672837366</v>
      </c>
      <c r="F55" s="222">
        <f t="shared" si="7"/>
        <v>3654563410</v>
      </c>
      <c r="G55" s="222"/>
      <c r="H55" s="222">
        <v>3654563410</v>
      </c>
      <c r="I55" s="222"/>
      <c r="J55" s="222"/>
      <c r="K55" s="222"/>
      <c r="L55" s="222"/>
      <c r="M55" s="222"/>
      <c r="N55" s="226"/>
      <c r="O55" s="223">
        <f t="shared" si="3"/>
        <v>99.50245670638279</v>
      </c>
      <c r="P55" s="223"/>
      <c r="Q55" s="223">
        <f t="shared" si="8"/>
        <v>99.50245670638279</v>
      </c>
    </row>
    <row r="56" spans="1:17" s="224" customFormat="1" ht="15">
      <c r="A56" s="225">
        <v>36</v>
      </c>
      <c r="B56" s="236" t="s">
        <v>265</v>
      </c>
      <c r="C56" s="222">
        <f t="shared" si="6"/>
        <v>2730404386</v>
      </c>
      <c r="D56" s="222"/>
      <c r="E56" s="226">
        <v>2730404386</v>
      </c>
      <c r="F56" s="222">
        <f t="shared" si="7"/>
        <v>2481178556</v>
      </c>
      <c r="G56" s="222"/>
      <c r="H56" s="222">
        <v>2481178556</v>
      </c>
      <c r="I56" s="222"/>
      <c r="J56" s="222"/>
      <c r="K56" s="222"/>
      <c r="L56" s="222"/>
      <c r="M56" s="222"/>
      <c r="N56" s="226"/>
      <c r="O56" s="223">
        <f t="shared" si="3"/>
        <v>90.87220078908854</v>
      </c>
      <c r="P56" s="223"/>
      <c r="Q56" s="223">
        <f t="shared" si="8"/>
        <v>90.87220078908854</v>
      </c>
    </row>
    <row r="57" spans="1:17" s="224" customFormat="1" ht="15">
      <c r="A57" s="225">
        <v>37</v>
      </c>
      <c r="B57" s="236" t="s">
        <v>266</v>
      </c>
      <c r="C57" s="222">
        <f t="shared" si="6"/>
        <v>4426240981</v>
      </c>
      <c r="D57" s="222"/>
      <c r="E57" s="226">
        <v>4426240981</v>
      </c>
      <c r="F57" s="222">
        <f t="shared" si="7"/>
        <v>4303135549</v>
      </c>
      <c r="G57" s="222"/>
      <c r="H57" s="222">
        <v>4303135549</v>
      </c>
      <c r="I57" s="222"/>
      <c r="J57" s="222"/>
      <c r="K57" s="222"/>
      <c r="L57" s="222"/>
      <c r="M57" s="222"/>
      <c r="N57" s="226"/>
      <c r="O57" s="223">
        <f t="shared" si="3"/>
        <v>97.2187363379346</v>
      </c>
      <c r="P57" s="223"/>
      <c r="Q57" s="223">
        <f t="shared" si="8"/>
        <v>97.2187363379346</v>
      </c>
    </row>
    <row r="58" spans="1:17" s="224" customFormat="1" ht="15">
      <c r="A58" s="225">
        <v>38</v>
      </c>
      <c r="B58" s="233" t="s">
        <v>267</v>
      </c>
      <c r="C58" s="222">
        <f t="shared" si="6"/>
        <v>2418931072</v>
      </c>
      <c r="D58" s="222"/>
      <c r="E58" s="226">
        <v>2418931072</v>
      </c>
      <c r="F58" s="222">
        <f t="shared" si="7"/>
        <v>2206960155</v>
      </c>
      <c r="G58" s="222"/>
      <c r="H58" s="222">
        <v>2206960155</v>
      </c>
      <c r="I58" s="222"/>
      <c r="J58" s="222"/>
      <c r="K58" s="222"/>
      <c r="L58" s="222"/>
      <c r="M58" s="222"/>
      <c r="N58" s="226"/>
      <c r="O58" s="223">
        <f t="shared" si="3"/>
        <v>91.23700053078652</v>
      </c>
      <c r="P58" s="223"/>
      <c r="Q58" s="223">
        <f t="shared" si="8"/>
        <v>91.23700053078652</v>
      </c>
    </row>
    <row r="59" spans="1:17" s="224" customFormat="1" ht="15">
      <c r="A59" s="225">
        <v>39</v>
      </c>
      <c r="B59" s="236" t="s">
        <v>113</v>
      </c>
      <c r="C59" s="222">
        <f t="shared" si="6"/>
        <v>4101463591</v>
      </c>
      <c r="D59" s="222"/>
      <c r="E59" s="226">
        <v>4101463591</v>
      </c>
      <c r="F59" s="222">
        <f t="shared" si="7"/>
        <v>3935366326</v>
      </c>
      <c r="G59" s="222"/>
      <c r="H59" s="222">
        <v>3935366326</v>
      </c>
      <c r="I59" s="222"/>
      <c r="J59" s="222"/>
      <c r="K59" s="222"/>
      <c r="L59" s="222"/>
      <c r="M59" s="222"/>
      <c r="N59" s="226"/>
      <c r="O59" s="223">
        <f t="shared" si="3"/>
        <v>95.95029283291765</v>
      </c>
      <c r="P59" s="223"/>
      <c r="Q59" s="223">
        <f t="shared" si="8"/>
        <v>95.95029283291765</v>
      </c>
    </row>
    <row r="60" spans="1:17" s="224" customFormat="1" ht="15">
      <c r="A60" s="225">
        <v>40</v>
      </c>
      <c r="B60" s="236" t="s">
        <v>268</v>
      </c>
      <c r="C60" s="222">
        <f t="shared" si="6"/>
        <v>3130889452</v>
      </c>
      <c r="D60" s="222"/>
      <c r="E60" s="226">
        <v>3130889452</v>
      </c>
      <c r="F60" s="222">
        <f t="shared" si="7"/>
        <v>3037703587</v>
      </c>
      <c r="G60" s="222"/>
      <c r="H60" s="222">
        <v>3037703587</v>
      </c>
      <c r="I60" s="222"/>
      <c r="J60" s="222"/>
      <c r="K60" s="222"/>
      <c r="L60" s="222"/>
      <c r="M60" s="222"/>
      <c r="N60" s="226"/>
      <c r="O60" s="223">
        <f t="shared" si="3"/>
        <v>97.02366160068433</v>
      </c>
      <c r="P60" s="223"/>
      <c r="Q60" s="223">
        <f t="shared" si="8"/>
        <v>97.02366160068433</v>
      </c>
    </row>
    <row r="61" spans="1:17" s="224" customFormat="1" ht="15">
      <c r="A61" s="225">
        <v>41</v>
      </c>
      <c r="B61" s="236" t="s">
        <v>269</v>
      </c>
      <c r="C61" s="222">
        <f t="shared" si="6"/>
        <v>5200644652</v>
      </c>
      <c r="D61" s="222"/>
      <c r="E61" s="226">
        <v>5200644652</v>
      </c>
      <c r="F61" s="222">
        <f t="shared" si="7"/>
        <v>4947728037</v>
      </c>
      <c r="G61" s="222"/>
      <c r="H61" s="222">
        <v>4947728037</v>
      </c>
      <c r="I61" s="222"/>
      <c r="J61" s="222"/>
      <c r="K61" s="222"/>
      <c r="L61" s="222"/>
      <c r="M61" s="222"/>
      <c r="N61" s="226"/>
      <c r="O61" s="223">
        <f t="shared" si="3"/>
        <v>95.13682183798625</v>
      </c>
      <c r="P61" s="223"/>
      <c r="Q61" s="223">
        <f t="shared" si="8"/>
        <v>95.13682183798625</v>
      </c>
    </row>
    <row r="62" spans="1:17" s="224" customFormat="1" ht="15">
      <c r="A62" s="225">
        <v>42</v>
      </c>
      <c r="B62" s="233" t="s">
        <v>270</v>
      </c>
      <c r="C62" s="222">
        <f t="shared" si="6"/>
        <v>5258731903</v>
      </c>
      <c r="D62" s="222"/>
      <c r="E62" s="226">
        <v>5258731903</v>
      </c>
      <c r="F62" s="222">
        <f t="shared" si="7"/>
        <v>4785165384</v>
      </c>
      <c r="G62" s="222"/>
      <c r="H62" s="222">
        <v>4785165384</v>
      </c>
      <c r="I62" s="222"/>
      <c r="J62" s="222"/>
      <c r="K62" s="222"/>
      <c r="L62" s="222"/>
      <c r="M62" s="222"/>
      <c r="N62" s="226"/>
      <c r="O62" s="223">
        <f t="shared" si="3"/>
        <v>90.99466320521418</v>
      </c>
      <c r="P62" s="223"/>
      <c r="Q62" s="223">
        <f t="shared" si="8"/>
        <v>90.99466320521418</v>
      </c>
    </row>
    <row r="63" spans="1:17" s="224" customFormat="1" ht="15">
      <c r="A63" s="225">
        <v>43</v>
      </c>
      <c r="B63" s="233" t="s">
        <v>114</v>
      </c>
      <c r="C63" s="222">
        <f t="shared" si="6"/>
        <v>3958256686</v>
      </c>
      <c r="D63" s="222"/>
      <c r="E63" s="226">
        <v>3958256686</v>
      </c>
      <c r="F63" s="222">
        <f t="shared" si="7"/>
        <v>3583516341</v>
      </c>
      <c r="G63" s="222"/>
      <c r="H63" s="222">
        <v>3583516341</v>
      </c>
      <c r="I63" s="222"/>
      <c r="J63" s="222"/>
      <c r="K63" s="222"/>
      <c r="L63" s="222"/>
      <c r="M63" s="222"/>
      <c r="N63" s="226"/>
      <c r="O63" s="223">
        <f t="shared" si="3"/>
        <v>90.53269217417295</v>
      </c>
      <c r="P63" s="223"/>
      <c r="Q63" s="223">
        <f t="shared" si="8"/>
        <v>90.53269217417295</v>
      </c>
    </row>
    <row r="64" spans="1:17" s="224" customFormat="1" ht="15">
      <c r="A64" s="225">
        <v>44</v>
      </c>
      <c r="B64" s="233" t="s">
        <v>271</v>
      </c>
      <c r="C64" s="222">
        <f t="shared" si="6"/>
        <v>5215719943</v>
      </c>
      <c r="D64" s="222"/>
      <c r="E64" s="226">
        <v>5215719943</v>
      </c>
      <c r="F64" s="222">
        <f t="shared" si="7"/>
        <v>5185510562</v>
      </c>
      <c r="G64" s="222"/>
      <c r="H64" s="222">
        <v>5185510562</v>
      </c>
      <c r="I64" s="222"/>
      <c r="J64" s="222"/>
      <c r="K64" s="222"/>
      <c r="L64" s="222"/>
      <c r="M64" s="222"/>
      <c r="N64" s="226"/>
      <c r="O64" s="223">
        <f t="shared" si="3"/>
        <v>99.42080132119547</v>
      </c>
      <c r="P64" s="223"/>
      <c r="Q64" s="223">
        <f t="shared" si="8"/>
        <v>99.42080132119547</v>
      </c>
    </row>
    <row r="65" spans="1:17" s="224" customFormat="1" ht="15">
      <c r="A65" s="225">
        <v>45</v>
      </c>
      <c r="B65" s="233" t="s">
        <v>272</v>
      </c>
      <c r="C65" s="222">
        <f t="shared" si="6"/>
        <v>3013658407</v>
      </c>
      <c r="D65" s="222"/>
      <c r="E65" s="226">
        <v>3013658407</v>
      </c>
      <c r="F65" s="222">
        <f t="shared" si="7"/>
        <v>2966327648</v>
      </c>
      <c r="G65" s="222"/>
      <c r="H65" s="222">
        <v>2966327648</v>
      </c>
      <c r="I65" s="222"/>
      <c r="J65" s="222"/>
      <c r="K65" s="222"/>
      <c r="L65" s="222"/>
      <c r="M65" s="222"/>
      <c r="N65" s="226"/>
      <c r="O65" s="223">
        <f t="shared" si="3"/>
        <v>98.42945839879988</v>
      </c>
      <c r="P65" s="223"/>
      <c r="Q65" s="223">
        <f t="shared" si="8"/>
        <v>98.42945839879988</v>
      </c>
    </row>
    <row r="66" spans="1:17" s="224" customFormat="1" ht="15">
      <c r="A66" s="225">
        <v>46</v>
      </c>
      <c r="B66" s="233" t="s">
        <v>273</v>
      </c>
      <c r="C66" s="222">
        <f t="shared" si="6"/>
        <v>7121396903</v>
      </c>
      <c r="D66" s="222"/>
      <c r="E66" s="226">
        <v>7121396903</v>
      </c>
      <c r="F66" s="222">
        <f t="shared" si="7"/>
        <v>6855596467</v>
      </c>
      <c r="G66" s="222"/>
      <c r="H66" s="222">
        <v>6855596467</v>
      </c>
      <c r="I66" s="222"/>
      <c r="J66" s="222"/>
      <c r="K66" s="222"/>
      <c r="L66" s="222"/>
      <c r="M66" s="222"/>
      <c r="N66" s="226"/>
      <c r="O66" s="223">
        <f t="shared" si="3"/>
        <v>96.26758008828259</v>
      </c>
      <c r="P66" s="223"/>
      <c r="Q66" s="223">
        <f t="shared" si="8"/>
        <v>96.26758008828259</v>
      </c>
    </row>
    <row r="67" spans="1:17" s="224" customFormat="1" ht="15">
      <c r="A67" s="225">
        <v>47</v>
      </c>
      <c r="B67" s="233" t="s">
        <v>274</v>
      </c>
      <c r="C67" s="222">
        <f t="shared" si="6"/>
        <v>3409975542</v>
      </c>
      <c r="D67" s="222"/>
      <c r="E67" s="226">
        <v>3409975542</v>
      </c>
      <c r="F67" s="222">
        <f t="shared" si="7"/>
        <v>3385186026</v>
      </c>
      <c r="G67" s="222"/>
      <c r="H67" s="222">
        <v>3385186026</v>
      </c>
      <c r="I67" s="222"/>
      <c r="J67" s="222"/>
      <c r="K67" s="222"/>
      <c r="L67" s="222"/>
      <c r="M67" s="222"/>
      <c r="N67" s="226"/>
      <c r="O67" s="223">
        <f t="shared" si="3"/>
        <v>99.27302950725974</v>
      </c>
      <c r="P67" s="223"/>
      <c r="Q67" s="223">
        <f t="shared" si="8"/>
        <v>99.27302950725974</v>
      </c>
    </row>
    <row r="68" spans="1:17" s="224" customFormat="1" ht="15">
      <c r="A68" s="225">
        <v>48</v>
      </c>
      <c r="B68" s="233" t="s">
        <v>275</v>
      </c>
      <c r="C68" s="222">
        <f t="shared" si="6"/>
        <v>3610871290</v>
      </c>
      <c r="D68" s="222"/>
      <c r="E68" s="226">
        <v>3610871290</v>
      </c>
      <c r="F68" s="222">
        <f t="shared" si="7"/>
        <v>3539109835</v>
      </c>
      <c r="G68" s="222"/>
      <c r="H68" s="222">
        <v>3539109835</v>
      </c>
      <c r="I68" s="222"/>
      <c r="J68" s="222"/>
      <c r="K68" s="222"/>
      <c r="L68" s="222"/>
      <c r="M68" s="222"/>
      <c r="N68" s="226"/>
      <c r="O68" s="223">
        <f t="shared" si="3"/>
        <v>98.01262772232461</v>
      </c>
      <c r="P68" s="223"/>
      <c r="Q68" s="223">
        <f t="shared" si="8"/>
        <v>98.01262772232461</v>
      </c>
    </row>
    <row r="69" spans="1:17" s="224" customFormat="1" ht="15">
      <c r="A69" s="225">
        <v>49</v>
      </c>
      <c r="B69" s="233" t="s">
        <v>276</v>
      </c>
      <c r="C69" s="222">
        <f t="shared" si="6"/>
        <v>2450706861</v>
      </c>
      <c r="D69" s="222"/>
      <c r="E69" s="226">
        <v>2450706861</v>
      </c>
      <c r="F69" s="222">
        <f t="shared" si="7"/>
        <v>2423345571</v>
      </c>
      <c r="G69" s="222"/>
      <c r="H69" s="222">
        <v>2423345571</v>
      </c>
      <c r="I69" s="222"/>
      <c r="J69" s="222"/>
      <c r="K69" s="222"/>
      <c r="L69" s="222"/>
      <c r="M69" s="222"/>
      <c r="N69" s="226"/>
      <c r="O69" s="223">
        <f t="shared" si="3"/>
        <v>98.88353476968538</v>
      </c>
      <c r="P69" s="223"/>
      <c r="Q69" s="223">
        <f t="shared" si="8"/>
        <v>98.88353476968538</v>
      </c>
    </row>
    <row r="70" spans="1:17" s="224" customFormat="1" ht="15">
      <c r="A70" s="225">
        <v>50</v>
      </c>
      <c r="B70" s="233" t="s">
        <v>126</v>
      </c>
      <c r="C70" s="222">
        <f t="shared" si="6"/>
        <v>2872490377</v>
      </c>
      <c r="D70" s="222"/>
      <c r="E70" s="226">
        <v>2872490377</v>
      </c>
      <c r="F70" s="222">
        <f t="shared" si="7"/>
        <v>2859677740</v>
      </c>
      <c r="G70" s="222"/>
      <c r="H70" s="222">
        <v>2859677740</v>
      </c>
      <c r="I70" s="222"/>
      <c r="J70" s="222"/>
      <c r="K70" s="222"/>
      <c r="L70" s="222"/>
      <c r="M70" s="222"/>
      <c r="N70" s="226"/>
      <c r="O70" s="223">
        <f t="shared" si="3"/>
        <v>99.55395370154795</v>
      </c>
      <c r="P70" s="223"/>
      <c r="Q70" s="223">
        <f t="shared" si="8"/>
        <v>99.55395370154795</v>
      </c>
    </row>
    <row r="71" spans="1:17" s="224" customFormat="1" ht="15">
      <c r="A71" s="225">
        <v>51</v>
      </c>
      <c r="B71" s="236" t="s">
        <v>123</v>
      </c>
      <c r="C71" s="222">
        <f t="shared" si="6"/>
        <v>3513478626</v>
      </c>
      <c r="D71" s="222"/>
      <c r="E71" s="226">
        <v>3513478626</v>
      </c>
      <c r="F71" s="222">
        <f t="shared" si="7"/>
        <v>3462918808</v>
      </c>
      <c r="G71" s="222"/>
      <c r="H71" s="222">
        <v>3462918808</v>
      </c>
      <c r="I71" s="222"/>
      <c r="J71" s="222"/>
      <c r="K71" s="222"/>
      <c r="L71" s="222"/>
      <c r="M71" s="222"/>
      <c r="N71" s="226"/>
      <c r="O71" s="223">
        <f t="shared" si="3"/>
        <v>98.5609755065577</v>
      </c>
      <c r="P71" s="223"/>
      <c r="Q71" s="223">
        <f t="shared" si="8"/>
        <v>98.5609755065577</v>
      </c>
    </row>
    <row r="72" spans="1:17" s="224" customFormat="1" ht="15">
      <c r="A72" s="225">
        <v>52</v>
      </c>
      <c r="B72" s="233" t="s">
        <v>277</v>
      </c>
      <c r="C72" s="222">
        <f t="shared" si="6"/>
        <v>6766510304</v>
      </c>
      <c r="D72" s="222"/>
      <c r="E72" s="226">
        <v>6766510304</v>
      </c>
      <c r="F72" s="222">
        <f t="shared" si="7"/>
        <v>6707251428</v>
      </c>
      <c r="G72" s="222"/>
      <c r="H72" s="222">
        <v>6707251428</v>
      </c>
      <c r="I72" s="222"/>
      <c r="J72" s="222"/>
      <c r="K72" s="222"/>
      <c r="L72" s="222"/>
      <c r="M72" s="222"/>
      <c r="N72" s="226"/>
      <c r="O72" s="223">
        <f t="shared" si="3"/>
        <v>99.1242328270014</v>
      </c>
      <c r="P72" s="223"/>
      <c r="Q72" s="223">
        <f t="shared" si="8"/>
        <v>99.1242328270014</v>
      </c>
    </row>
    <row r="73" spans="1:17" s="224" customFormat="1" ht="15">
      <c r="A73" s="225">
        <v>53</v>
      </c>
      <c r="B73" s="233" t="s">
        <v>124</v>
      </c>
      <c r="C73" s="222">
        <f t="shared" si="6"/>
        <v>7897881933</v>
      </c>
      <c r="D73" s="222"/>
      <c r="E73" s="226">
        <v>7897881933</v>
      </c>
      <c r="F73" s="222">
        <f t="shared" si="7"/>
        <v>7864563434</v>
      </c>
      <c r="G73" s="222"/>
      <c r="H73" s="222">
        <v>7864563434</v>
      </c>
      <c r="I73" s="222"/>
      <c r="J73" s="222"/>
      <c r="K73" s="222"/>
      <c r="L73" s="222"/>
      <c r="M73" s="222"/>
      <c r="N73" s="226"/>
      <c r="O73" s="223">
        <f t="shared" si="3"/>
        <v>99.57813374164553</v>
      </c>
      <c r="P73" s="223"/>
      <c r="Q73" s="223">
        <f t="shared" si="8"/>
        <v>99.57813374164553</v>
      </c>
    </row>
    <row r="74" spans="1:17" s="224" customFormat="1" ht="15">
      <c r="A74" s="225">
        <v>54</v>
      </c>
      <c r="B74" s="236" t="s">
        <v>121</v>
      </c>
      <c r="C74" s="222">
        <f t="shared" si="6"/>
        <v>5222051430</v>
      </c>
      <c r="D74" s="222"/>
      <c r="E74" s="226">
        <v>5222051430</v>
      </c>
      <c r="F74" s="222">
        <f t="shared" si="7"/>
        <v>5180941658</v>
      </c>
      <c r="G74" s="222"/>
      <c r="H74" s="222">
        <v>5180941658</v>
      </c>
      <c r="I74" s="222"/>
      <c r="J74" s="222"/>
      <c r="K74" s="222"/>
      <c r="L74" s="222"/>
      <c r="M74" s="222"/>
      <c r="N74" s="226"/>
      <c r="O74" s="223">
        <f t="shared" si="3"/>
        <v>99.212765853591</v>
      </c>
      <c r="P74" s="223"/>
      <c r="Q74" s="223">
        <f t="shared" si="8"/>
        <v>99.212765853591</v>
      </c>
    </row>
    <row r="75" spans="1:17" s="224" customFormat="1" ht="15">
      <c r="A75" s="225">
        <v>55</v>
      </c>
      <c r="B75" s="236" t="s">
        <v>278</v>
      </c>
      <c r="C75" s="222">
        <f t="shared" si="6"/>
        <v>7241577154</v>
      </c>
      <c r="D75" s="222"/>
      <c r="E75" s="226">
        <v>7241577154</v>
      </c>
      <c r="F75" s="222">
        <f t="shared" si="7"/>
        <v>7122552718</v>
      </c>
      <c r="G75" s="222"/>
      <c r="H75" s="222">
        <v>7122552718</v>
      </c>
      <c r="I75" s="222"/>
      <c r="J75" s="222"/>
      <c r="K75" s="222"/>
      <c r="L75" s="222"/>
      <c r="M75" s="222"/>
      <c r="N75" s="226"/>
      <c r="O75" s="223">
        <f t="shared" si="3"/>
        <v>98.35637412308374</v>
      </c>
      <c r="P75" s="223"/>
      <c r="Q75" s="223">
        <f t="shared" si="8"/>
        <v>98.35637412308374</v>
      </c>
    </row>
    <row r="76" spans="1:17" s="224" customFormat="1" ht="15">
      <c r="A76" s="225">
        <v>56</v>
      </c>
      <c r="B76" s="233" t="s">
        <v>127</v>
      </c>
      <c r="C76" s="222">
        <f t="shared" si="6"/>
        <v>2415743400</v>
      </c>
      <c r="D76" s="222"/>
      <c r="E76" s="226">
        <v>2415743400</v>
      </c>
      <c r="F76" s="222">
        <f t="shared" si="7"/>
        <v>2409027087</v>
      </c>
      <c r="G76" s="222"/>
      <c r="H76" s="222">
        <v>2409027087</v>
      </c>
      <c r="I76" s="222"/>
      <c r="J76" s="222"/>
      <c r="K76" s="222"/>
      <c r="L76" s="222"/>
      <c r="M76" s="222"/>
      <c r="N76" s="226"/>
      <c r="O76" s="223">
        <f t="shared" si="3"/>
        <v>99.72197738385626</v>
      </c>
      <c r="P76" s="223"/>
      <c r="Q76" s="223">
        <f t="shared" si="8"/>
        <v>99.72197738385626</v>
      </c>
    </row>
    <row r="77" spans="1:17" s="224" customFormat="1" ht="15">
      <c r="A77" s="225">
        <v>57</v>
      </c>
      <c r="B77" s="233" t="s">
        <v>117</v>
      </c>
      <c r="C77" s="222">
        <f t="shared" si="6"/>
        <v>5177135184</v>
      </c>
      <c r="D77" s="222"/>
      <c r="E77" s="226">
        <v>5177135184</v>
      </c>
      <c r="F77" s="222">
        <f t="shared" si="7"/>
        <v>5117913189</v>
      </c>
      <c r="G77" s="222"/>
      <c r="H77" s="222">
        <v>5117913189</v>
      </c>
      <c r="I77" s="222"/>
      <c r="J77" s="222"/>
      <c r="K77" s="222"/>
      <c r="L77" s="222"/>
      <c r="M77" s="222"/>
      <c r="N77" s="226"/>
      <c r="O77" s="223">
        <f aca="true" t="shared" si="9" ref="O77:O113">(F77/C77)*100</f>
        <v>98.85608559762885</v>
      </c>
      <c r="P77" s="223"/>
      <c r="Q77" s="223">
        <f t="shared" si="8"/>
        <v>98.85608559762885</v>
      </c>
    </row>
    <row r="78" spans="1:17" s="224" customFormat="1" ht="15">
      <c r="A78" s="225">
        <v>58</v>
      </c>
      <c r="B78" s="233" t="s">
        <v>122</v>
      </c>
      <c r="C78" s="222">
        <f t="shared" si="6"/>
        <v>5436931121</v>
      </c>
      <c r="D78" s="222"/>
      <c r="E78" s="226">
        <v>5436931121</v>
      </c>
      <c r="F78" s="222">
        <f t="shared" si="7"/>
        <v>4536367206</v>
      </c>
      <c r="G78" s="222"/>
      <c r="H78" s="222">
        <v>4536367206</v>
      </c>
      <c r="I78" s="222"/>
      <c r="J78" s="222"/>
      <c r="K78" s="222"/>
      <c r="L78" s="222"/>
      <c r="M78" s="222"/>
      <c r="N78" s="226"/>
      <c r="O78" s="223">
        <f t="shared" si="9"/>
        <v>83.43617208020908</v>
      </c>
      <c r="P78" s="223"/>
      <c r="Q78" s="223">
        <f t="shared" si="8"/>
        <v>83.43617208020908</v>
      </c>
    </row>
    <row r="79" spans="1:17" s="224" customFormat="1" ht="15">
      <c r="A79" s="225">
        <v>59</v>
      </c>
      <c r="B79" s="233" t="s">
        <v>125</v>
      </c>
      <c r="C79" s="222">
        <f t="shared" si="6"/>
        <v>5681560940</v>
      </c>
      <c r="D79" s="222"/>
      <c r="E79" s="226">
        <v>5681560940</v>
      </c>
      <c r="F79" s="222">
        <f t="shared" si="7"/>
        <v>5233186102</v>
      </c>
      <c r="G79" s="222"/>
      <c r="H79" s="222">
        <v>5233186102</v>
      </c>
      <c r="I79" s="222"/>
      <c r="J79" s="222"/>
      <c r="K79" s="222"/>
      <c r="L79" s="222"/>
      <c r="M79" s="222"/>
      <c r="N79" s="226"/>
      <c r="O79" s="223">
        <f t="shared" si="9"/>
        <v>92.1082455554899</v>
      </c>
      <c r="P79" s="223"/>
      <c r="Q79" s="223">
        <f t="shared" si="8"/>
        <v>92.1082455554899</v>
      </c>
    </row>
    <row r="80" spans="1:17" s="224" customFormat="1" ht="15">
      <c r="A80" s="225">
        <v>60</v>
      </c>
      <c r="B80" s="233" t="s">
        <v>116</v>
      </c>
      <c r="C80" s="222">
        <f t="shared" si="6"/>
        <v>6087003794</v>
      </c>
      <c r="D80" s="222"/>
      <c r="E80" s="226">
        <v>6087003794</v>
      </c>
      <c r="F80" s="222">
        <f t="shared" si="7"/>
        <v>6066221630</v>
      </c>
      <c r="G80" s="222"/>
      <c r="H80" s="222">
        <v>6066221630</v>
      </c>
      <c r="I80" s="222"/>
      <c r="J80" s="222"/>
      <c r="K80" s="222"/>
      <c r="L80" s="222"/>
      <c r="M80" s="222"/>
      <c r="N80" s="226"/>
      <c r="O80" s="223">
        <f t="shared" si="9"/>
        <v>99.65858138579632</v>
      </c>
      <c r="P80" s="223"/>
      <c r="Q80" s="223">
        <f t="shared" si="8"/>
        <v>99.65858138579632</v>
      </c>
    </row>
    <row r="81" spans="1:17" s="224" customFormat="1" ht="15">
      <c r="A81" s="225">
        <v>61</v>
      </c>
      <c r="B81" s="233" t="s">
        <v>129</v>
      </c>
      <c r="C81" s="222">
        <f t="shared" si="6"/>
        <v>6476365296</v>
      </c>
      <c r="D81" s="222"/>
      <c r="E81" s="226">
        <v>6476365296</v>
      </c>
      <c r="F81" s="222">
        <f t="shared" si="7"/>
        <v>6400035373</v>
      </c>
      <c r="G81" s="222"/>
      <c r="H81" s="222">
        <v>6400035373</v>
      </c>
      <c r="I81" s="222"/>
      <c r="J81" s="222"/>
      <c r="K81" s="222"/>
      <c r="L81" s="222"/>
      <c r="M81" s="222"/>
      <c r="N81" s="226"/>
      <c r="O81" s="223">
        <f t="shared" si="9"/>
        <v>98.82140800416023</v>
      </c>
      <c r="P81" s="223"/>
      <c r="Q81" s="223">
        <f t="shared" si="8"/>
        <v>98.82140800416023</v>
      </c>
    </row>
    <row r="82" spans="1:17" s="224" customFormat="1" ht="15">
      <c r="A82" s="225">
        <v>62</v>
      </c>
      <c r="B82" s="233" t="s">
        <v>118</v>
      </c>
      <c r="C82" s="222">
        <f t="shared" si="6"/>
        <v>6203288976</v>
      </c>
      <c r="D82" s="222"/>
      <c r="E82" s="226">
        <v>6203288976</v>
      </c>
      <c r="F82" s="222">
        <f t="shared" si="7"/>
        <v>5659816971</v>
      </c>
      <c r="G82" s="222"/>
      <c r="H82" s="222">
        <v>5659816971</v>
      </c>
      <c r="I82" s="222"/>
      <c r="J82" s="222"/>
      <c r="K82" s="222"/>
      <c r="L82" s="222"/>
      <c r="M82" s="222"/>
      <c r="N82" s="226"/>
      <c r="O82" s="223">
        <f t="shared" si="9"/>
        <v>91.23897005116726</v>
      </c>
      <c r="P82" s="223"/>
      <c r="Q82" s="223">
        <f t="shared" si="8"/>
        <v>91.23897005116726</v>
      </c>
    </row>
    <row r="83" spans="1:17" s="224" customFormat="1" ht="15">
      <c r="A83" s="225">
        <v>63</v>
      </c>
      <c r="B83" s="233" t="s">
        <v>130</v>
      </c>
      <c r="C83" s="222">
        <f t="shared" si="6"/>
        <v>5090524724</v>
      </c>
      <c r="D83" s="222"/>
      <c r="E83" s="226">
        <v>5090524724</v>
      </c>
      <c r="F83" s="222">
        <f t="shared" si="7"/>
        <v>5032142014</v>
      </c>
      <c r="G83" s="222"/>
      <c r="H83" s="222">
        <v>5032142014</v>
      </c>
      <c r="I83" s="222"/>
      <c r="J83" s="222"/>
      <c r="K83" s="222"/>
      <c r="L83" s="222"/>
      <c r="M83" s="222"/>
      <c r="N83" s="226"/>
      <c r="O83" s="223">
        <f t="shared" si="9"/>
        <v>98.85311017693822</v>
      </c>
      <c r="P83" s="223"/>
      <c r="Q83" s="223">
        <f t="shared" si="8"/>
        <v>98.85311017693822</v>
      </c>
    </row>
    <row r="84" spans="1:17" s="224" customFormat="1" ht="15">
      <c r="A84" s="225">
        <v>64</v>
      </c>
      <c r="B84" s="233" t="s">
        <v>120</v>
      </c>
      <c r="C84" s="222">
        <f t="shared" si="6"/>
        <v>7674243154</v>
      </c>
      <c r="D84" s="222"/>
      <c r="E84" s="226">
        <v>7674243154</v>
      </c>
      <c r="F84" s="222">
        <f t="shared" si="7"/>
        <v>7664184350</v>
      </c>
      <c r="G84" s="222"/>
      <c r="H84" s="222">
        <v>7664184350</v>
      </c>
      <c r="I84" s="222"/>
      <c r="J84" s="222"/>
      <c r="K84" s="222"/>
      <c r="L84" s="222"/>
      <c r="M84" s="222"/>
      <c r="N84" s="226"/>
      <c r="O84" s="223">
        <f t="shared" si="9"/>
        <v>99.86892773921612</v>
      </c>
      <c r="P84" s="223"/>
      <c r="Q84" s="223">
        <f t="shared" si="8"/>
        <v>99.86892773921612</v>
      </c>
    </row>
    <row r="85" spans="1:17" s="224" customFormat="1" ht="15">
      <c r="A85" s="225">
        <v>65</v>
      </c>
      <c r="B85" s="233" t="s">
        <v>131</v>
      </c>
      <c r="C85" s="222">
        <f aca="true" t="shared" si="10" ref="C85:C116">D85+E85</f>
        <v>4823549088</v>
      </c>
      <c r="D85" s="222"/>
      <c r="E85" s="226">
        <v>4823549088</v>
      </c>
      <c r="F85" s="222">
        <f aca="true" t="shared" si="11" ref="F85:F116">SUM(G85:N85)</f>
        <v>4783595218</v>
      </c>
      <c r="G85" s="222"/>
      <c r="H85" s="222">
        <v>4783595218</v>
      </c>
      <c r="I85" s="222"/>
      <c r="J85" s="222"/>
      <c r="K85" s="222"/>
      <c r="L85" s="222"/>
      <c r="M85" s="222"/>
      <c r="N85" s="226"/>
      <c r="O85" s="223">
        <f t="shared" si="9"/>
        <v>99.17169143982805</v>
      </c>
      <c r="P85" s="223"/>
      <c r="Q85" s="223">
        <f t="shared" si="8"/>
        <v>99.17169143982805</v>
      </c>
    </row>
    <row r="86" spans="1:17" s="224" customFormat="1" ht="15">
      <c r="A86" s="225">
        <v>66</v>
      </c>
      <c r="B86" s="236" t="s">
        <v>119</v>
      </c>
      <c r="C86" s="222">
        <f t="shared" si="10"/>
        <v>3796220472</v>
      </c>
      <c r="D86" s="222"/>
      <c r="E86" s="226">
        <v>3796220472</v>
      </c>
      <c r="F86" s="222">
        <f t="shared" si="11"/>
        <v>3712957658</v>
      </c>
      <c r="G86" s="222"/>
      <c r="H86" s="222">
        <v>3712957658</v>
      </c>
      <c r="I86" s="222"/>
      <c r="J86" s="222"/>
      <c r="K86" s="222"/>
      <c r="L86" s="222"/>
      <c r="M86" s="222"/>
      <c r="N86" s="226"/>
      <c r="O86" s="223">
        <f t="shared" si="9"/>
        <v>97.80669182377245</v>
      </c>
      <c r="P86" s="223"/>
      <c r="Q86" s="223">
        <f t="shared" si="8"/>
        <v>97.80669182377245</v>
      </c>
    </row>
    <row r="87" spans="1:17" s="224" customFormat="1" ht="15">
      <c r="A87" s="225">
        <v>67</v>
      </c>
      <c r="B87" s="233" t="s">
        <v>128</v>
      </c>
      <c r="C87" s="222">
        <f t="shared" si="10"/>
        <v>2934419215</v>
      </c>
      <c r="D87" s="222"/>
      <c r="E87" s="226">
        <v>2934419215</v>
      </c>
      <c r="F87" s="222">
        <f t="shared" si="11"/>
        <v>2786182327</v>
      </c>
      <c r="G87" s="222"/>
      <c r="H87" s="222">
        <v>2786182327</v>
      </c>
      <c r="I87" s="222"/>
      <c r="J87" s="222"/>
      <c r="K87" s="222"/>
      <c r="L87" s="222"/>
      <c r="M87" s="222"/>
      <c r="N87" s="226"/>
      <c r="O87" s="223">
        <f t="shared" si="9"/>
        <v>94.94833978586799</v>
      </c>
      <c r="P87" s="223"/>
      <c r="Q87" s="223">
        <f t="shared" si="8"/>
        <v>94.94833978586799</v>
      </c>
    </row>
    <row r="88" spans="1:17" s="224" customFormat="1" ht="15">
      <c r="A88" s="225">
        <v>68</v>
      </c>
      <c r="B88" s="236" t="s">
        <v>137</v>
      </c>
      <c r="C88" s="222">
        <f t="shared" si="10"/>
        <v>4878587245</v>
      </c>
      <c r="D88" s="222"/>
      <c r="E88" s="226">
        <v>4878587245</v>
      </c>
      <c r="F88" s="222">
        <f t="shared" si="11"/>
        <v>4800895258</v>
      </c>
      <c r="G88" s="222"/>
      <c r="H88" s="222">
        <v>4800895258</v>
      </c>
      <c r="I88" s="222"/>
      <c r="J88" s="222"/>
      <c r="K88" s="222"/>
      <c r="L88" s="222"/>
      <c r="M88" s="222"/>
      <c r="N88" s="226"/>
      <c r="O88" s="223">
        <f t="shared" si="9"/>
        <v>98.40749005606848</v>
      </c>
      <c r="P88" s="223"/>
      <c r="Q88" s="223">
        <f t="shared" si="8"/>
        <v>98.40749005606848</v>
      </c>
    </row>
    <row r="89" spans="1:17" s="224" customFormat="1" ht="15">
      <c r="A89" s="225">
        <v>69</v>
      </c>
      <c r="B89" s="236" t="s">
        <v>136</v>
      </c>
      <c r="C89" s="222">
        <f t="shared" si="10"/>
        <v>4616755108</v>
      </c>
      <c r="D89" s="222"/>
      <c r="E89" s="226">
        <v>4616755108</v>
      </c>
      <c r="F89" s="222">
        <f t="shared" si="11"/>
        <v>4395475179</v>
      </c>
      <c r="G89" s="222"/>
      <c r="H89" s="222">
        <v>4395475179</v>
      </c>
      <c r="I89" s="222"/>
      <c r="J89" s="222"/>
      <c r="K89" s="222"/>
      <c r="L89" s="222"/>
      <c r="M89" s="222"/>
      <c r="N89" s="226"/>
      <c r="O89" s="223">
        <f t="shared" si="9"/>
        <v>95.20702476471922</v>
      </c>
      <c r="P89" s="223"/>
      <c r="Q89" s="223">
        <f aca="true" t="shared" si="12" ref="Q89:Q109">(H89/E89)*100</f>
        <v>95.20702476471922</v>
      </c>
    </row>
    <row r="90" spans="1:17" s="224" customFormat="1" ht="15">
      <c r="A90" s="225">
        <v>70</v>
      </c>
      <c r="B90" s="236" t="s">
        <v>279</v>
      </c>
      <c r="C90" s="222">
        <f t="shared" si="10"/>
        <v>11780542505</v>
      </c>
      <c r="D90" s="222"/>
      <c r="E90" s="226">
        <v>11780542505</v>
      </c>
      <c r="F90" s="222">
        <f t="shared" si="11"/>
        <v>11468320585</v>
      </c>
      <c r="G90" s="222"/>
      <c r="H90" s="222">
        <v>11468320585</v>
      </c>
      <c r="I90" s="222"/>
      <c r="J90" s="222"/>
      <c r="K90" s="222"/>
      <c r="L90" s="222"/>
      <c r="M90" s="222"/>
      <c r="N90" s="226"/>
      <c r="O90" s="223">
        <f t="shared" si="9"/>
        <v>97.34968130824633</v>
      </c>
      <c r="P90" s="223"/>
      <c r="Q90" s="223">
        <f t="shared" si="12"/>
        <v>97.34968130824633</v>
      </c>
    </row>
    <row r="91" spans="1:17" s="224" customFormat="1" ht="15">
      <c r="A91" s="225">
        <v>71</v>
      </c>
      <c r="B91" s="236" t="s">
        <v>280</v>
      </c>
      <c r="C91" s="222">
        <f t="shared" si="10"/>
        <v>8317028459</v>
      </c>
      <c r="D91" s="222"/>
      <c r="E91" s="226">
        <v>8317028459</v>
      </c>
      <c r="F91" s="222">
        <f t="shared" si="11"/>
        <v>8277497840</v>
      </c>
      <c r="G91" s="222"/>
      <c r="H91" s="222">
        <v>8277497840</v>
      </c>
      <c r="I91" s="222"/>
      <c r="J91" s="222"/>
      <c r="K91" s="222"/>
      <c r="L91" s="222"/>
      <c r="M91" s="222"/>
      <c r="N91" s="226"/>
      <c r="O91" s="223">
        <f t="shared" si="9"/>
        <v>99.52470261229871</v>
      </c>
      <c r="P91" s="223"/>
      <c r="Q91" s="223">
        <f t="shared" si="12"/>
        <v>99.52470261229871</v>
      </c>
    </row>
    <row r="92" spans="1:17" s="224" customFormat="1" ht="15">
      <c r="A92" s="225">
        <v>72</v>
      </c>
      <c r="B92" s="236" t="s">
        <v>281</v>
      </c>
      <c r="C92" s="222">
        <f t="shared" si="10"/>
        <v>8807811174</v>
      </c>
      <c r="D92" s="222"/>
      <c r="E92" s="226">
        <v>8807811174</v>
      </c>
      <c r="F92" s="222">
        <f t="shared" si="11"/>
        <v>8662867308</v>
      </c>
      <c r="G92" s="222"/>
      <c r="H92" s="222">
        <v>8662867308</v>
      </c>
      <c r="I92" s="222"/>
      <c r="J92" s="222"/>
      <c r="K92" s="222"/>
      <c r="L92" s="222"/>
      <c r="M92" s="222"/>
      <c r="N92" s="226"/>
      <c r="O92" s="223">
        <f t="shared" si="9"/>
        <v>98.35437132862404</v>
      </c>
      <c r="P92" s="223"/>
      <c r="Q92" s="223">
        <f t="shared" si="12"/>
        <v>98.35437132862404</v>
      </c>
    </row>
    <row r="93" spans="1:17" s="224" customFormat="1" ht="15">
      <c r="A93" s="225">
        <v>73</v>
      </c>
      <c r="B93" s="236" t="s">
        <v>135</v>
      </c>
      <c r="C93" s="222">
        <f t="shared" si="10"/>
        <v>4696055061</v>
      </c>
      <c r="D93" s="222"/>
      <c r="E93" s="226">
        <v>4696055061</v>
      </c>
      <c r="F93" s="222">
        <f t="shared" si="11"/>
        <v>4430455466</v>
      </c>
      <c r="G93" s="222"/>
      <c r="H93" s="222">
        <v>4430455466</v>
      </c>
      <c r="I93" s="222"/>
      <c r="J93" s="222"/>
      <c r="K93" s="222"/>
      <c r="L93" s="222"/>
      <c r="M93" s="222"/>
      <c r="N93" s="226"/>
      <c r="O93" s="223">
        <f t="shared" si="9"/>
        <v>94.34419759670702</v>
      </c>
      <c r="P93" s="223"/>
      <c r="Q93" s="223">
        <f t="shared" si="12"/>
        <v>94.34419759670702</v>
      </c>
    </row>
    <row r="94" spans="1:17" s="224" customFormat="1" ht="15">
      <c r="A94" s="225">
        <v>74</v>
      </c>
      <c r="B94" s="236" t="s">
        <v>282</v>
      </c>
      <c r="C94" s="222">
        <f t="shared" si="10"/>
        <v>4753759109</v>
      </c>
      <c r="D94" s="222"/>
      <c r="E94" s="226">
        <v>4753759109</v>
      </c>
      <c r="F94" s="222">
        <f t="shared" si="11"/>
        <v>4638212814</v>
      </c>
      <c r="G94" s="222"/>
      <c r="H94" s="222">
        <v>4638212814</v>
      </c>
      <c r="I94" s="222"/>
      <c r="J94" s="222"/>
      <c r="K94" s="222"/>
      <c r="L94" s="222"/>
      <c r="M94" s="222"/>
      <c r="N94" s="226"/>
      <c r="O94" s="223">
        <f t="shared" si="9"/>
        <v>97.56937000065395</v>
      </c>
      <c r="P94" s="223"/>
      <c r="Q94" s="223">
        <f t="shared" si="12"/>
        <v>97.56937000065395</v>
      </c>
    </row>
    <row r="95" spans="1:17" s="224" customFormat="1" ht="15">
      <c r="A95" s="225">
        <v>75</v>
      </c>
      <c r="B95" s="236" t="s">
        <v>132</v>
      </c>
      <c r="C95" s="222">
        <f t="shared" si="10"/>
        <v>5501197900</v>
      </c>
      <c r="D95" s="222"/>
      <c r="E95" s="226">
        <v>5501197900</v>
      </c>
      <c r="F95" s="222">
        <f t="shared" si="11"/>
        <v>5372733723</v>
      </c>
      <c r="G95" s="222"/>
      <c r="H95" s="222">
        <v>5372733723</v>
      </c>
      <c r="I95" s="222"/>
      <c r="J95" s="222"/>
      <c r="K95" s="222"/>
      <c r="L95" s="222"/>
      <c r="M95" s="222"/>
      <c r="N95" s="226"/>
      <c r="O95" s="223">
        <f t="shared" si="9"/>
        <v>97.66479629827532</v>
      </c>
      <c r="P95" s="223"/>
      <c r="Q95" s="223">
        <f t="shared" si="12"/>
        <v>97.66479629827532</v>
      </c>
    </row>
    <row r="96" spans="1:17" s="224" customFormat="1" ht="15">
      <c r="A96" s="225">
        <v>76</v>
      </c>
      <c r="B96" s="233" t="s">
        <v>134</v>
      </c>
      <c r="C96" s="222">
        <f t="shared" si="10"/>
        <v>12643674907</v>
      </c>
      <c r="D96" s="222"/>
      <c r="E96" s="226">
        <v>12643674907</v>
      </c>
      <c r="F96" s="222">
        <f t="shared" si="11"/>
        <v>12552724810</v>
      </c>
      <c r="G96" s="222"/>
      <c r="H96" s="222">
        <v>12552724810</v>
      </c>
      <c r="I96" s="222"/>
      <c r="J96" s="222"/>
      <c r="K96" s="222"/>
      <c r="L96" s="222"/>
      <c r="M96" s="222"/>
      <c r="N96" s="226"/>
      <c r="O96" s="223">
        <f t="shared" si="9"/>
        <v>99.28066722951215</v>
      </c>
      <c r="P96" s="223"/>
      <c r="Q96" s="223">
        <f t="shared" si="12"/>
        <v>99.28066722951215</v>
      </c>
    </row>
    <row r="97" spans="1:17" s="224" customFormat="1" ht="15">
      <c r="A97" s="225">
        <v>77</v>
      </c>
      <c r="B97" s="236" t="s">
        <v>133</v>
      </c>
      <c r="C97" s="222">
        <f t="shared" si="10"/>
        <v>5116574177</v>
      </c>
      <c r="D97" s="222"/>
      <c r="E97" s="226">
        <v>5116574177</v>
      </c>
      <c r="F97" s="222">
        <f t="shared" si="11"/>
        <v>5005411517</v>
      </c>
      <c r="G97" s="222"/>
      <c r="H97" s="222">
        <v>5005411517</v>
      </c>
      <c r="I97" s="222"/>
      <c r="J97" s="222"/>
      <c r="K97" s="222"/>
      <c r="L97" s="222"/>
      <c r="M97" s="222"/>
      <c r="N97" s="226"/>
      <c r="O97" s="223">
        <f t="shared" si="9"/>
        <v>97.82740059746034</v>
      </c>
      <c r="P97" s="223"/>
      <c r="Q97" s="223">
        <f t="shared" si="12"/>
        <v>97.82740059746034</v>
      </c>
    </row>
    <row r="98" spans="1:17" s="224" customFormat="1" ht="15">
      <c r="A98" s="225">
        <v>78</v>
      </c>
      <c r="B98" s="233" t="s">
        <v>165</v>
      </c>
      <c r="C98" s="222">
        <f t="shared" si="10"/>
        <v>50000000</v>
      </c>
      <c r="D98" s="222"/>
      <c r="E98" s="226">
        <v>50000000</v>
      </c>
      <c r="F98" s="222">
        <f t="shared" si="11"/>
        <v>50000000</v>
      </c>
      <c r="G98" s="222"/>
      <c r="H98" s="226">
        <v>50000000</v>
      </c>
      <c r="I98" s="222"/>
      <c r="J98" s="222"/>
      <c r="K98" s="222"/>
      <c r="L98" s="222"/>
      <c r="M98" s="222"/>
      <c r="N98" s="226"/>
      <c r="O98" s="223">
        <f t="shared" si="9"/>
        <v>100</v>
      </c>
      <c r="P98" s="223"/>
      <c r="Q98" s="223">
        <f t="shared" si="12"/>
        <v>100</v>
      </c>
    </row>
    <row r="99" spans="1:17" s="224" customFormat="1" ht="15">
      <c r="A99" s="225">
        <v>79</v>
      </c>
      <c r="B99" s="233" t="s">
        <v>166</v>
      </c>
      <c r="C99" s="222">
        <f t="shared" si="10"/>
        <v>60000000</v>
      </c>
      <c r="D99" s="222"/>
      <c r="E99" s="226">
        <v>60000000</v>
      </c>
      <c r="F99" s="222">
        <f t="shared" si="11"/>
        <v>60000000</v>
      </c>
      <c r="G99" s="222"/>
      <c r="H99" s="226">
        <v>60000000</v>
      </c>
      <c r="I99" s="222"/>
      <c r="J99" s="222"/>
      <c r="K99" s="222"/>
      <c r="L99" s="222"/>
      <c r="M99" s="222"/>
      <c r="N99" s="226"/>
      <c r="O99" s="223">
        <f t="shared" si="9"/>
        <v>100</v>
      </c>
      <c r="P99" s="223"/>
      <c r="Q99" s="223">
        <f t="shared" si="12"/>
        <v>100</v>
      </c>
    </row>
    <row r="100" spans="1:17" s="224" customFormat="1" ht="15">
      <c r="A100" s="225">
        <v>80</v>
      </c>
      <c r="B100" s="233" t="s">
        <v>167</v>
      </c>
      <c r="C100" s="222">
        <f t="shared" si="10"/>
        <v>120000000</v>
      </c>
      <c r="D100" s="222"/>
      <c r="E100" s="226">
        <v>120000000</v>
      </c>
      <c r="F100" s="222">
        <f t="shared" si="11"/>
        <v>120000000</v>
      </c>
      <c r="G100" s="222"/>
      <c r="H100" s="226">
        <v>120000000</v>
      </c>
      <c r="I100" s="222"/>
      <c r="J100" s="222"/>
      <c r="K100" s="222"/>
      <c r="L100" s="222"/>
      <c r="M100" s="222"/>
      <c r="N100" s="226"/>
      <c r="O100" s="223">
        <f t="shared" si="9"/>
        <v>100</v>
      </c>
      <c r="P100" s="223"/>
      <c r="Q100" s="223">
        <f t="shared" si="12"/>
        <v>100</v>
      </c>
    </row>
    <row r="101" spans="1:17" s="224" customFormat="1" ht="15">
      <c r="A101" s="225">
        <v>81</v>
      </c>
      <c r="B101" s="233" t="s">
        <v>578</v>
      </c>
      <c r="C101" s="222">
        <f t="shared" si="10"/>
        <v>50000000</v>
      </c>
      <c r="D101" s="222"/>
      <c r="E101" s="226">
        <v>50000000</v>
      </c>
      <c r="F101" s="222">
        <f t="shared" si="11"/>
        <v>50000000</v>
      </c>
      <c r="G101" s="222"/>
      <c r="H101" s="226">
        <v>50000000</v>
      </c>
      <c r="I101" s="222"/>
      <c r="J101" s="222"/>
      <c r="K101" s="222"/>
      <c r="L101" s="222"/>
      <c r="M101" s="222"/>
      <c r="N101" s="226"/>
      <c r="O101" s="223">
        <f t="shared" si="9"/>
        <v>100</v>
      </c>
      <c r="P101" s="223"/>
      <c r="Q101" s="223">
        <f t="shared" si="12"/>
        <v>100</v>
      </c>
    </row>
    <row r="102" spans="1:17" s="224" customFormat="1" ht="15">
      <c r="A102" s="225">
        <v>82</v>
      </c>
      <c r="B102" s="233" t="s">
        <v>168</v>
      </c>
      <c r="C102" s="222">
        <f t="shared" si="10"/>
        <v>3164717500</v>
      </c>
      <c r="D102" s="222"/>
      <c r="E102" s="226">
        <v>3164717500</v>
      </c>
      <c r="F102" s="222">
        <f t="shared" si="11"/>
        <v>239404000</v>
      </c>
      <c r="G102" s="222"/>
      <c r="H102" s="226">
        <v>239404000</v>
      </c>
      <c r="I102" s="222"/>
      <c r="J102" s="222"/>
      <c r="K102" s="222"/>
      <c r="L102" s="222"/>
      <c r="M102" s="222"/>
      <c r="N102" s="226"/>
      <c r="O102" s="223">
        <f t="shared" si="9"/>
        <v>7.5647826385767445</v>
      </c>
      <c r="P102" s="223"/>
      <c r="Q102" s="223">
        <f t="shared" si="12"/>
        <v>7.5647826385767445</v>
      </c>
    </row>
    <row r="103" spans="1:17" s="224" customFormat="1" ht="15">
      <c r="A103" s="225">
        <v>83</v>
      </c>
      <c r="B103" s="237" t="s">
        <v>283</v>
      </c>
      <c r="C103" s="222">
        <f t="shared" si="10"/>
        <v>32000000</v>
      </c>
      <c r="D103" s="222"/>
      <c r="E103" s="226">
        <v>32000000</v>
      </c>
      <c r="F103" s="222">
        <f t="shared" si="11"/>
        <v>32000000</v>
      </c>
      <c r="G103" s="222"/>
      <c r="H103" s="226">
        <v>32000000</v>
      </c>
      <c r="I103" s="222"/>
      <c r="J103" s="222"/>
      <c r="K103" s="222"/>
      <c r="L103" s="222"/>
      <c r="M103" s="222"/>
      <c r="N103" s="226"/>
      <c r="O103" s="223">
        <f t="shared" si="9"/>
        <v>100</v>
      </c>
      <c r="P103" s="223"/>
      <c r="Q103" s="223">
        <f t="shared" si="12"/>
        <v>100</v>
      </c>
    </row>
    <row r="104" spans="1:17" s="224" customFormat="1" ht="15" customHeight="1">
      <c r="A104" s="225">
        <v>84</v>
      </c>
      <c r="B104" s="238" t="s">
        <v>579</v>
      </c>
      <c r="C104" s="222">
        <f t="shared" si="10"/>
        <v>50000000</v>
      </c>
      <c r="D104" s="222"/>
      <c r="E104" s="226">
        <v>50000000</v>
      </c>
      <c r="F104" s="222">
        <f t="shared" si="11"/>
        <v>50000000</v>
      </c>
      <c r="G104" s="222"/>
      <c r="H104" s="226">
        <v>50000000</v>
      </c>
      <c r="I104" s="222"/>
      <c r="J104" s="222"/>
      <c r="K104" s="222"/>
      <c r="L104" s="222"/>
      <c r="M104" s="222"/>
      <c r="N104" s="226"/>
      <c r="O104" s="223">
        <f t="shared" si="9"/>
        <v>100</v>
      </c>
      <c r="P104" s="223"/>
      <c r="Q104" s="223">
        <f t="shared" si="12"/>
        <v>100</v>
      </c>
    </row>
    <row r="105" spans="1:17" s="224" customFormat="1" ht="36.75" customHeight="1">
      <c r="A105" s="225">
        <v>85</v>
      </c>
      <c r="B105" s="239" t="s">
        <v>532</v>
      </c>
      <c r="C105" s="222">
        <f t="shared" si="10"/>
        <v>70000000</v>
      </c>
      <c r="D105" s="222"/>
      <c r="E105" s="226">
        <v>70000000</v>
      </c>
      <c r="F105" s="222">
        <f t="shared" si="11"/>
        <v>70000000</v>
      </c>
      <c r="G105" s="222"/>
      <c r="H105" s="226">
        <v>70000000</v>
      </c>
      <c r="I105" s="222"/>
      <c r="J105" s="222"/>
      <c r="K105" s="222"/>
      <c r="L105" s="222"/>
      <c r="M105" s="222"/>
      <c r="N105" s="226"/>
      <c r="O105" s="223">
        <f t="shared" si="9"/>
        <v>100</v>
      </c>
      <c r="P105" s="223"/>
      <c r="Q105" s="223">
        <f t="shared" si="12"/>
        <v>100</v>
      </c>
    </row>
    <row r="106" spans="1:17" s="224" customFormat="1" ht="15" customHeight="1">
      <c r="A106" s="225">
        <v>86</v>
      </c>
      <c r="B106" s="239" t="s">
        <v>533</v>
      </c>
      <c r="C106" s="222">
        <f t="shared" si="10"/>
        <v>1171583800</v>
      </c>
      <c r="D106" s="222"/>
      <c r="E106" s="226">
        <v>1171583800</v>
      </c>
      <c r="F106" s="222">
        <f t="shared" si="11"/>
        <v>1171426150</v>
      </c>
      <c r="G106" s="222"/>
      <c r="H106" s="226">
        <v>1171426150</v>
      </c>
      <c r="I106" s="222"/>
      <c r="J106" s="222"/>
      <c r="K106" s="222"/>
      <c r="L106" s="222"/>
      <c r="M106" s="222"/>
      <c r="N106" s="226"/>
      <c r="O106" s="223">
        <f t="shared" si="9"/>
        <v>99.98654385627388</v>
      </c>
      <c r="P106" s="223"/>
      <c r="Q106" s="223">
        <f t="shared" si="12"/>
        <v>99.98654385627388</v>
      </c>
    </row>
    <row r="107" spans="1:17" s="224" customFormat="1" ht="15" customHeight="1">
      <c r="A107" s="225">
        <v>87</v>
      </c>
      <c r="B107" s="238" t="s">
        <v>147</v>
      </c>
      <c r="C107" s="222">
        <f t="shared" si="10"/>
        <v>5287273470</v>
      </c>
      <c r="D107" s="222"/>
      <c r="E107" s="222">
        <v>5287273470</v>
      </c>
      <c r="F107" s="222">
        <f t="shared" si="11"/>
        <v>5287273470</v>
      </c>
      <c r="G107" s="222"/>
      <c r="H107" s="222">
        <v>5287273470</v>
      </c>
      <c r="I107" s="222"/>
      <c r="J107" s="222"/>
      <c r="K107" s="222"/>
      <c r="L107" s="222"/>
      <c r="M107" s="222"/>
      <c r="N107" s="226"/>
      <c r="O107" s="223">
        <f t="shared" si="9"/>
        <v>100</v>
      </c>
      <c r="P107" s="223"/>
      <c r="Q107" s="223">
        <f t="shared" si="12"/>
        <v>100</v>
      </c>
    </row>
    <row r="108" spans="1:17" s="224" customFormat="1" ht="15" customHeight="1">
      <c r="A108" s="225">
        <v>88</v>
      </c>
      <c r="B108" s="238" t="s">
        <v>580</v>
      </c>
      <c r="C108" s="222">
        <f t="shared" si="10"/>
        <v>20000000</v>
      </c>
      <c r="D108" s="222"/>
      <c r="E108" s="226">
        <v>20000000</v>
      </c>
      <c r="F108" s="222">
        <f t="shared" si="11"/>
        <v>20000000</v>
      </c>
      <c r="G108" s="222"/>
      <c r="H108" s="226">
        <v>20000000</v>
      </c>
      <c r="I108" s="222"/>
      <c r="J108" s="222"/>
      <c r="K108" s="222"/>
      <c r="L108" s="222"/>
      <c r="M108" s="222"/>
      <c r="N108" s="226"/>
      <c r="O108" s="223">
        <f t="shared" si="9"/>
        <v>100</v>
      </c>
      <c r="P108" s="223"/>
      <c r="Q108" s="223">
        <f t="shared" si="12"/>
        <v>100</v>
      </c>
    </row>
    <row r="109" spans="1:17" s="224" customFormat="1" ht="15" customHeight="1">
      <c r="A109" s="225">
        <v>89</v>
      </c>
      <c r="B109" s="238" t="s">
        <v>368</v>
      </c>
      <c r="C109" s="222">
        <f t="shared" si="10"/>
        <v>11105996100</v>
      </c>
      <c r="D109" s="222"/>
      <c r="E109" s="226">
        <f>6311000000+4000000000+552200000+49758000+193038100</f>
        <v>11105996100</v>
      </c>
      <c r="F109" s="222">
        <f t="shared" si="11"/>
        <v>4661062000</v>
      </c>
      <c r="G109" s="222"/>
      <c r="H109" s="226">
        <f>3915852000+552200000+49758000+143252000</f>
        <v>4661062000</v>
      </c>
      <c r="I109" s="222"/>
      <c r="J109" s="222"/>
      <c r="K109" s="222"/>
      <c r="L109" s="222"/>
      <c r="M109" s="222"/>
      <c r="N109" s="226"/>
      <c r="O109" s="223">
        <f t="shared" si="9"/>
        <v>41.968878415147294</v>
      </c>
      <c r="P109" s="223"/>
      <c r="Q109" s="223">
        <f t="shared" si="12"/>
        <v>41.968878415147294</v>
      </c>
    </row>
    <row r="110" spans="1:17" s="245" customFormat="1" ht="42" customHeight="1">
      <c r="A110" s="240" t="s">
        <v>14</v>
      </c>
      <c r="B110" s="241" t="s">
        <v>284</v>
      </c>
      <c r="C110" s="242">
        <f t="shared" si="10"/>
        <v>0</v>
      </c>
      <c r="D110" s="242"/>
      <c r="E110" s="242"/>
      <c r="F110" s="242">
        <f t="shared" si="11"/>
        <v>0</v>
      </c>
      <c r="G110" s="242"/>
      <c r="H110" s="242"/>
      <c r="I110" s="243"/>
      <c r="J110" s="243"/>
      <c r="K110" s="243"/>
      <c r="L110" s="243"/>
      <c r="M110" s="243"/>
      <c r="N110" s="243"/>
      <c r="O110" s="244"/>
      <c r="P110" s="244"/>
      <c r="Q110" s="244"/>
    </row>
    <row r="111" spans="1:17" s="245" customFormat="1" ht="30.75" customHeight="1">
      <c r="A111" s="240" t="s">
        <v>17</v>
      </c>
      <c r="B111" s="241" t="s">
        <v>285</v>
      </c>
      <c r="C111" s="242">
        <f t="shared" si="10"/>
        <v>0</v>
      </c>
      <c r="D111" s="242"/>
      <c r="E111" s="242"/>
      <c r="F111" s="242">
        <f t="shared" si="11"/>
        <v>0</v>
      </c>
      <c r="G111" s="242"/>
      <c r="H111" s="242"/>
      <c r="I111" s="243"/>
      <c r="J111" s="243"/>
      <c r="K111" s="243"/>
      <c r="L111" s="243"/>
      <c r="M111" s="243"/>
      <c r="N111" s="243"/>
      <c r="O111" s="244"/>
      <c r="P111" s="244"/>
      <c r="Q111" s="244"/>
    </row>
    <row r="112" spans="1:17" s="245" customFormat="1" ht="24.75" customHeight="1">
      <c r="A112" s="240" t="s">
        <v>19</v>
      </c>
      <c r="B112" s="241" t="s">
        <v>286</v>
      </c>
      <c r="C112" s="218">
        <f t="shared" si="10"/>
        <v>17050169059</v>
      </c>
      <c r="D112" s="246"/>
      <c r="E112" s="246">
        <f>'[1]52'!C46</f>
        <v>17050169059</v>
      </c>
      <c r="F112" s="218">
        <f t="shared" si="11"/>
        <v>0</v>
      </c>
      <c r="G112" s="218"/>
      <c r="H112" s="218"/>
      <c r="I112" s="243"/>
      <c r="J112" s="243"/>
      <c r="K112" s="243"/>
      <c r="L112" s="243"/>
      <c r="M112" s="243"/>
      <c r="N112" s="243"/>
      <c r="O112" s="244"/>
      <c r="P112" s="244"/>
      <c r="Q112" s="244"/>
    </row>
    <row r="113" spans="1:17" s="245" customFormat="1" ht="33" customHeight="1">
      <c r="A113" s="240" t="s">
        <v>29</v>
      </c>
      <c r="B113" s="241" t="s">
        <v>287</v>
      </c>
      <c r="C113" s="218">
        <f t="shared" si="10"/>
        <v>16100000000</v>
      </c>
      <c r="D113" s="246"/>
      <c r="E113" s="246">
        <v>16100000000</v>
      </c>
      <c r="F113" s="218">
        <f t="shared" si="11"/>
        <v>0</v>
      </c>
      <c r="G113" s="242"/>
      <c r="H113" s="246"/>
      <c r="I113" s="243"/>
      <c r="J113" s="243"/>
      <c r="K113" s="243"/>
      <c r="L113" s="243"/>
      <c r="M113" s="243"/>
      <c r="N113" s="243"/>
      <c r="O113" s="244">
        <f t="shared" si="9"/>
        <v>0</v>
      </c>
      <c r="P113" s="244"/>
      <c r="Q113" s="244">
        <f>(H113/E113)*100</f>
        <v>0</v>
      </c>
    </row>
    <row r="114" spans="1:17" s="245" customFormat="1" ht="42" customHeight="1">
      <c r="A114" s="240" t="s">
        <v>108</v>
      </c>
      <c r="B114" s="241" t="s">
        <v>288</v>
      </c>
      <c r="C114" s="218">
        <f t="shared" si="10"/>
        <v>0</v>
      </c>
      <c r="D114" s="207"/>
      <c r="E114" s="246"/>
      <c r="F114" s="218">
        <f t="shared" si="11"/>
        <v>222190779398</v>
      </c>
      <c r="G114" s="218"/>
      <c r="H114" s="246">
        <f>'[1]49'!D23</f>
        <v>222190779398</v>
      </c>
      <c r="I114" s="247"/>
      <c r="J114" s="247"/>
      <c r="K114" s="247"/>
      <c r="L114" s="247"/>
      <c r="M114" s="247"/>
      <c r="N114" s="247"/>
      <c r="O114" s="244"/>
      <c r="P114" s="244"/>
      <c r="Q114" s="244"/>
    </row>
    <row r="115" spans="1:17" s="245" customFormat="1" ht="33.75" customHeight="1">
      <c r="A115" s="240" t="s">
        <v>109</v>
      </c>
      <c r="B115" s="241" t="s">
        <v>289</v>
      </c>
      <c r="C115" s="218">
        <f t="shared" si="10"/>
        <v>0</v>
      </c>
      <c r="D115" s="242"/>
      <c r="E115" s="246"/>
      <c r="F115" s="218">
        <f t="shared" si="11"/>
        <v>200546150936</v>
      </c>
      <c r="G115" s="218"/>
      <c r="H115" s="218">
        <v>0</v>
      </c>
      <c r="I115" s="247"/>
      <c r="J115" s="247"/>
      <c r="K115" s="247"/>
      <c r="L115" s="247"/>
      <c r="M115" s="247"/>
      <c r="N115" s="218">
        <f>'[1]48-CD'!D33</f>
        <v>200546150936</v>
      </c>
      <c r="O115" s="244"/>
      <c r="P115" s="244"/>
      <c r="Q115" s="244"/>
    </row>
    <row r="116" spans="1:17" s="245" customFormat="1" ht="31.5" customHeight="1">
      <c r="A116" s="240" t="s">
        <v>110</v>
      </c>
      <c r="B116" s="241" t="s">
        <v>172</v>
      </c>
      <c r="C116" s="218">
        <f t="shared" si="10"/>
        <v>0</v>
      </c>
      <c r="D116" s="218">
        <f>'[1]54'!G115</f>
        <v>0</v>
      </c>
      <c r="E116" s="218">
        <v>0</v>
      </c>
      <c r="F116" s="218">
        <f t="shared" si="11"/>
        <v>9328866497</v>
      </c>
      <c r="G116" s="218"/>
      <c r="H116" s="218">
        <f>'[1]48-CD'!D34</f>
        <v>9328866497</v>
      </c>
      <c r="I116" s="243"/>
      <c r="J116" s="243"/>
      <c r="K116" s="243"/>
      <c r="L116" s="243"/>
      <c r="M116" s="243"/>
      <c r="N116" s="243"/>
      <c r="O116" s="244"/>
      <c r="P116" s="244"/>
      <c r="Q116" s="244">
        <v>0</v>
      </c>
    </row>
  </sheetData>
  <sheetProtection/>
  <mergeCells count="23">
    <mergeCell ref="Q9:Q10"/>
    <mergeCell ref="D9:D10"/>
    <mergeCell ref="E9:E10"/>
    <mergeCell ref="O1:Q1"/>
    <mergeCell ref="A4:Q4"/>
    <mergeCell ref="A5:Q5"/>
    <mergeCell ref="A8:A10"/>
    <mergeCell ref="B8:B10"/>
    <mergeCell ref="C8:E8"/>
    <mergeCell ref="O7:Q7"/>
    <mergeCell ref="A6:Q6"/>
    <mergeCell ref="J9:J10"/>
    <mergeCell ref="K9:M9"/>
    <mergeCell ref="F8:N8"/>
    <mergeCell ref="O8:Q8"/>
    <mergeCell ref="C9:C10"/>
    <mergeCell ref="F9:F10"/>
    <mergeCell ref="G9:G10"/>
    <mergeCell ref="H9:H10"/>
    <mergeCell ref="I9:I10"/>
    <mergeCell ref="N9:N10"/>
    <mergeCell ref="O9:O10"/>
    <mergeCell ref="P9:P10"/>
  </mergeCells>
  <printOptions/>
  <pageMargins left="0.3937007874015748" right="0.3937007874015748" top="0.5905511811023623" bottom="0.5905511811023623" header="0.31496062992125984" footer="0.31496062992125984"/>
  <pageSetup horizontalDpi="600" verticalDpi="600" orientation="landscape" paperSize="9" scale="80" r:id="rId1"/>
  <headerFooter>
    <oddHeader>&amp;CPage &amp;P</oddHeader>
  </headerFooter>
</worksheet>
</file>

<file path=xl/worksheets/sheet6.xml><?xml version="1.0" encoding="utf-8"?>
<worksheet xmlns="http://schemas.openxmlformats.org/spreadsheetml/2006/main" xmlns:r="http://schemas.openxmlformats.org/officeDocument/2006/relationships">
  <sheetPr>
    <tabColor rgb="FF00B0F0"/>
  </sheetPr>
  <dimension ref="A1:U27"/>
  <sheetViews>
    <sheetView zoomScale="130" zoomScaleNormal="130" zoomScalePageLayoutView="0" workbookViewId="0" topLeftCell="A1">
      <selection activeCell="A6" sqref="A6:U6"/>
    </sheetView>
  </sheetViews>
  <sheetFormatPr defaultColWidth="8.8515625" defaultRowHeight="12.75"/>
  <cols>
    <col min="1" max="1" width="3.421875" style="60" customWidth="1"/>
    <col min="2" max="2" width="12.57421875" style="59" customWidth="1"/>
    <col min="3" max="3" width="9.7109375" style="59" customWidth="1"/>
    <col min="4" max="4" width="9.140625" style="59" customWidth="1"/>
    <col min="5" max="5" width="9.8515625" style="59" customWidth="1"/>
    <col min="6" max="6" width="6.00390625" style="59" customWidth="1"/>
    <col min="7" max="7" width="9.8515625" style="59" customWidth="1"/>
    <col min="8" max="8" width="6.28125" style="59" customWidth="1"/>
    <col min="9" max="9" width="9.57421875" style="59" customWidth="1"/>
    <col min="10" max="10" width="10.00390625" style="59" customWidth="1"/>
    <col min="11" max="11" width="9.57421875" style="59" customWidth="1"/>
    <col min="12" max="12" width="5.7109375" style="59" customWidth="1"/>
    <col min="13" max="13" width="9.7109375" style="59" customWidth="1"/>
    <col min="14" max="14" width="0.9921875" style="59" hidden="1" customWidth="1"/>
    <col min="15" max="15" width="5.00390625" style="59" customWidth="1"/>
    <col min="16" max="16" width="6.57421875" style="59" customWidth="1"/>
    <col min="17" max="17" width="6.7109375" style="59" customWidth="1"/>
    <col min="18" max="18" width="7.28125" style="59" customWidth="1"/>
    <col min="19" max="19" width="5.28125" style="59" customWidth="1"/>
    <col min="20" max="20" width="6.57421875" style="59" customWidth="1"/>
    <col min="21" max="21" width="5.421875" style="59" customWidth="1"/>
    <col min="22" max="16384" width="8.8515625" style="59" customWidth="1"/>
  </cols>
  <sheetData>
    <row r="1" spans="1:21" ht="14.25" customHeight="1">
      <c r="A1" s="36" t="s">
        <v>490</v>
      </c>
      <c r="B1" s="58"/>
      <c r="R1" s="471" t="s">
        <v>35</v>
      </c>
      <c r="S1" s="471"/>
      <c r="T1" s="471"/>
      <c r="U1" s="471"/>
    </row>
    <row r="2" ht="17.25" customHeight="1">
      <c r="A2" s="36" t="s">
        <v>489</v>
      </c>
    </row>
    <row r="3" ht="9.75" customHeight="1">
      <c r="A3" s="36"/>
    </row>
    <row r="4" spans="1:21" ht="22.5" customHeight="1">
      <c r="A4" s="472" t="s">
        <v>582</v>
      </c>
      <c r="B4" s="472"/>
      <c r="C4" s="472"/>
      <c r="D4" s="472"/>
      <c r="E4" s="472"/>
      <c r="F4" s="472"/>
      <c r="G4" s="472"/>
      <c r="H4" s="472"/>
      <c r="I4" s="472"/>
      <c r="J4" s="472"/>
      <c r="K4" s="472"/>
      <c r="L4" s="472"/>
      <c r="M4" s="472"/>
      <c r="N4" s="472"/>
      <c r="O4" s="472"/>
      <c r="P4" s="472"/>
      <c r="Q4" s="472"/>
      <c r="R4" s="472"/>
      <c r="S4" s="472"/>
      <c r="T4" s="472"/>
      <c r="U4" s="472"/>
    </row>
    <row r="5" spans="1:20" ht="16.5" customHeight="1">
      <c r="A5" s="482" t="s">
        <v>36</v>
      </c>
      <c r="B5" s="482"/>
      <c r="C5" s="482"/>
      <c r="D5" s="482"/>
      <c r="E5" s="482"/>
      <c r="F5" s="482"/>
      <c r="G5" s="482"/>
      <c r="H5" s="482"/>
      <c r="I5" s="482"/>
      <c r="J5" s="482"/>
      <c r="K5" s="482"/>
      <c r="L5" s="482"/>
      <c r="M5" s="482"/>
      <c r="N5" s="482"/>
      <c r="O5" s="482"/>
      <c r="P5" s="482"/>
      <c r="Q5" s="482"/>
      <c r="R5" s="482"/>
      <c r="S5" s="482"/>
      <c r="T5" s="482"/>
    </row>
    <row r="6" spans="1:21" ht="15.75" customHeight="1">
      <c r="A6" s="442" t="s">
        <v>605</v>
      </c>
      <c r="B6" s="442"/>
      <c r="C6" s="442"/>
      <c r="D6" s="442"/>
      <c r="E6" s="442"/>
      <c r="F6" s="442"/>
      <c r="G6" s="442"/>
      <c r="H6" s="442"/>
      <c r="I6" s="442"/>
      <c r="J6" s="442"/>
      <c r="K6" s="442"/>
      <c r="L6" s="442"/>
      <c r="M6" s="442"/>
      <c r="N6" s="442"/>
      <c r="O6" s="442"/>
      <c r="P6" s="442"/>
      <c r="Q6" s="442"/>
      <c r="R6" s="442"/>
      <c r="S6" s="442"/>
      <c r="T6" s="442"/>
      <c r="U6" s="442"/>
    </row>
    <row r="7" spans="18:21" ht="15" customHeight="1">
      <c r="R7" s="480" t="s">
        <v>61</v>
      </c>
      <c r="S7" s="480"/>
      <c r="T7" s="480"/>
      <c r="U7" s="480"/>
    </row>
    <row r="8" spans="1:21" ht="12.75">
      <c r="A8" s="481" t="s">
        <v>0</v>
      </c>
      <c r="B8" s="481" t="s">
        <v>37</v>
      </c>
      <c r="C8" s="481" t="s">
        <v>2</v>
      </c>
      <c r="D8" s="481"/>
      <c r="E8" s="481"/>
      <c r="F8" s="481"/>
      <c r="G8" s="481"/>
      <c r="H8" s="481"/>
      <c r="I8" s="481" t="s">
        <v>4</v>
      </c>
      <c r="J8" s="481"/>
      <c r="K8" s="481"/>
      <c r="L8" s="481"/>
      <c r="M8" s="481"/>
      <c r="N8" s="481"/>
      <c r="O8" s="481"/>
      <c r="P8" s="481" t="s">
        <v>23</v>
      </c>
      <c r="Q8" s="481"/>
      <c r="R8" s="481"/>
      <c r="S8" s="481"/>
      <c r="T8" s="481"/>
      <c r="U8" s="481"/>
    </row>
    <row r="9" spans="1:21" ht="21" customHeight="1">
      <c r="A9" s="481"/>
      <c r="B9" s="481"/>
      <c r="C9" s="476" t="s">
        <v>38</v>
      </c>
      <c r="D9" s="476" t="s">
        <v>39</v>
      </c>
      <c r="E9" s="473" t="s">
        <v>40</v>
      </c>
      <c r="F9" s="474"/>
      <c r="G9" s="474"/>
      <c r="H9" s="475"/>
      <c r="I9" s="476" t="s">
        <v>38</v>
      </c>
      <c r="J9" s="476" t="s">
        <v>39</v>
      </c>
      <c r="K9" s="473" t="s">
        <v>40</v>
      </c>
      <c r="L9" s="474"/>
      <c r="M9" s="474"/>
      <c r="N9" s="474"/>
      <c r="O9" s="475"/>
      <c r="P9" s="476" t="s">
        <v>38</v>
      </c>
      <c r="Q9" s="476" t="s">
        <v>39</v>
      </c>
      <c r="R9" s="477" t="s">
        <v>40</v>
      </c>
      <c r="S9" s="478"/>
      <c r="T9" s="478"/>
      <c r="U9" s="479"/>
    </row>
    <row r="10" spans="1:21" ht="171.75" customHeight="1">
      <c r="A10" s="481"/>
      <c r="B10" s="481"/>
      <c r="C10" s="476"/>
      <c r="D10" s="476"/>
      <c r="E10" s="8" t="s">
        <v>38</v>
      </c>
      <c r="F10" s="9" t="s">
        <v>41</v>
      </c>
      <c r="G10" s="9" t="s">
        <v>297</v>
      </c>
      <c r="H10" s="9" t="s">
        <v>42</v>
      </c>
      <c r="I10" s="476"/>
      <c r="J10" s="476"/>
      <c r="K10" s="8" t="s">
        <v>38</v>
      </c>
      <c r="L10" s="9" t="s">
        <v>41</v>
      </c>
      <c r="M10" s="9" t="s">
        <v>297</v>
      </c>
      <c r="N10" s="9" t="s">
        <v>482</v>
      </c>
      <c r="O10" s="9" t="s">
        <v>42</v>
      </c>
      <c r="P10" s="476"/>
      <c r="Q10" s="476"/>
      <c r="R10" s="8" t="s">
        <v>38</v>
      </c>
      <c r="S10" s="9" t="s">
        <v>41</v>
      </c>
      <c r="T10" s="9" t="s">
        <v>297</v>
      </c>
      <c r="U10" s="9" t="s">
        <v>42</v>
      </c>
    </row>
    <row r="11" spans="1:21" s="62" customFormat="1" ht="17.25" customHeight="1">
      <c r="A11" s="61" t="s">
        <v>9</v>
      </c>
      <c r="B11" s="61" t="s">
        <v>20</v>
      </c>
      <c r="C11" s="61">
        <v>1</v>
      </c>
      <c r="D11" s="61">
        <v>2</v>
      </c>
      <c r="E11" s="61">
        <v>3</v>
      </c>
      <c r="F11" s="61">
        <v>4</v>
      </c>
      <c r="G11" s="61">
        <v>5</v>
      </c>
      <c r="H11" s="61">
        <v>6</v>
      </c>
      <c r="I11" s="61">
        <v>7</v>
      </c>
      <c r="J11" s="61">
        <v>8</v>
      </c>
      <c r="K11" s="61">
        <v>9</v>
      </c>
      <c r="L11" s="61">
        <v>10</v>
      </c>
      <c r="M11" s="61">
        <v>11</v>
      </c>
      <c r="N11" s="61"/>
      <c r="O11" s="61">
        <v>12</v>
      </c>
      <c r="P11" s="61" t="s">
        <v>43</v>
      </c>
      <c r="Q11" s="61" t="s">
        <v>44</v>
      </c>
      <c r="R11" s="61" t="s">
        <v>45</v>
      </c>
      <c r="S11" s="61" t="s">
        <v>483</v>
      </c>
      <c r="T11" s="61" t="s">
        <v>46</v>
      </c>
      <c r="U11" s="61" t="s">
        <v>47</v>
      </c>
    </row>
    <row r="12" spans="1:21" s="63" customFormat="1" ht="18.75" customHeight="1">
      <c r="A12" s="10"/>
      <c r="B12" s="26" t="s">
        <v>27</v>
      </c>
      <c r="C12" s="11">
        <f>+SUM(C13:C27)</f>
        <v>222190779398</v>
      </c>
      <c r="D12" s="11">
        <f>+SUM(D13:D27)</f>
        <v>78796000000</v>
      </c>
      <c r="E12" s="11">
        <f>F12+G12</f>
        <v>143394779398</v>
      </c>
      <c r="F12" s="11">
        <f>+SUM(F13:F27)</f>
        <v>0</v>
      </c>
      <c r="G12" s="11">
        <f>+SUM(G13:G27)</f>
        <v>143394779398</v>
      </c>
      <c r="H12" s="248"/>
      <c r="I12" s="11">
        <f>+SUM(I13:I27)</f>
        <v>222190779398</v>
      </c>
      <c r="J12" s="11">
        <f>+SUM(J13:J27)</f>
        <v>78796000000</v>
      </c>
      <c r="K12" s="11">
        <f>L12+M12</f>
        <v>143394779398</v>
      </c>
      <c r="L12" s="11">
        <f>+SUM(L13:L27)</f>
        <v>0</v>
      </c>
      <c r="M12" s="11">
        <f>+SUM(M13:M27)</f>
        <v>143394779398</v>
      </c>
      <c r="N12" s="11">
        <f>+SUM(N13:N27)</f>
        <v>0</v>
      </c>
      <c r="O12" s="11"/>
      <c r="P12" s="57">
        <f>+I12/C12*100</f>
        <v>100</v>
      </c>
      <c r="Q12" s="57">
        <f>+J12/D12*100</f>
        <v>100</v>
      </c>
      <c r="R12" s="57">
        <f>+K12/E12*100</f>
        <v>100</v>
      </c>
      <c r="S12" s="57"/>
      <c r="T12" s="57">
        <f>+M12/G12*100</f>
        <v>100</v>
      </c>
      <c r="U12" s="26"/>
    </row>
    <row r="13" spans="1:21" ht="18.75" customHeight="1">
      <c r="A13" s="64">
        <v>1</v>
      </c>
      <c r="B13" s="56" t="s">
        <v>291</v>
      </c>
      <c r="C13" s="67">
        <f>D13+E13</f>
        <v>18884125220</v>
      </c>
      <c r="D13" s="250">
        <v>5479000000</v>
      </c>
      <c r="E13" s="68">
        <f>SUM(F13:H13)</f>
        <v>13405125220</v>
      </c>
      <c r="F13" s="7"/>
      <c r="G13" s="251">
        <v>13405125220</v>
      </c>
      <c r="H13" s="249"/>
      <c r="I13" s="7">
        <f>+J13+K13</f>
        <v>18884125220</v>
      </c>
      <c r="J13" s="250">
        <f>D13</f>
        <v>5479000000</v>
      </c>
      <c r="K13" s="251">
        <f>E13</f>
        <v>13405125220</v>
      </c>
      <c r="L13" s="7"/>
      <c r="M13" s="7">
        <f>K13</f>
        <v>13405125220</v>
      </c>
      <c r="N13" s="7"/>
      <c r="O13" s="7"/>
      <c r="P13" s="65">
        <f aca="true" t="shared" si="0" ref="P13:R27">+I13/C13*100</f>
        <v>100</v>
      </c>
      <c r="Q13" s="65">
        <f t="shared" si="0"/>
        <v>100</v>
      </c>
      <c r="R13" s="65">
        <f t="shared" si="0"/>
        <v>100</v>
      </c>
      <c r="S13" s="65"/>
      <c r="T13" s="65">
        <f aca="true" t="shared" si="1" ref="T13:T27">+M13/G13*100</f>
        <v>100</v>
      </c>
      <c r="U13" s="66"/>
    </row>
    <row r="14" spans="1:21" ht="18.75" customHeight="1">
      <c r="A14" s="64">
        <v>2</v>
      </c>
      <c r="B14" s="56" t="s">
        <v>292</v>
      </c>
      <c r="C14" s="67">
        <f aca="true" t="shared" si="2" ref="C14:C27">D14+E14</f>
        <v>12772236632</v>
      </c>
      <c r="D14" s="250">
        <v>5050000000</v>
      </c>
      <c r="E14" s="68">
        <f aca="true" t="shared" si="3" ref="E14:E27">SUM(F14:H14)</f>
        <v>7722236632</v>
      </c>
      <c r="F14" s="7"/>
      <c r="G14" s="251">
        <v>7722236632</v>
      </c>
      <c r="H14" s="249"/>
      <c r="I14" s="7">
        <f aca="true" t="shared" si="4" ref="I14:I27">+J14+K14</f>
        <v>12772236632</v>
      </c>
      <c r="J14" s="250">
        <f aca="true" t="shared" si="5" ref="J14:J27">D14</f>
        <v>5050000000</v>
      </c>
      <c r="K14" s="251">
        <f aca="true" t="shared" si="6" ref="K14:K27">E14</f>
        <v>7722236632</v>
      </c>
      <c r="L14" s="7"/>
      <c r="M14" s="7">
        <f aca="true" t="shared" si="7" ref="M14:M27">K14</f>
        <v>7722236632</v>
      </c>
      <c r="N14" s="7"/>
      <c r="O14" s="7"/>
      <c r="P14" s="65">
        <f t="shared" si="0"/>
        <v>100</v>
      </c>
      <c r="Q14" s="65">
        <f t="shared" si="0"/>
        <v>100</v>
      </c>
      <c r="R14" s="65">
        <f t="shared" si="0"/>
        <v>100</v>
      </c>
      <c r="S14" s="65"/>
      <c r="T14" s="65">
        <f t="shared" si="1"/>
        <v>100</v>
      </c>
      <c r="U14" s="56"/>
    </row>
    <row r="15" spans="1:21" ht="18.75" customHeight="1">
      <c r="A15" s="64">
        <v>3</v>
      </c>
      <c r="B15" s="56" t="s">
        <v>293</v>
      </c>
      <c r="C15" s="67">
        <f t="shared" si="2"/>
        <v>13587035467</v>
      </c>
      <c r="D15" s="250">
        <v>5189000000</v>
      </c>
      <c r="E15" s="68">
        <f t="shared" si="3"/>
        <v>8398035467</v>
      </c>
      <c r="F15" s="7"/>
      <c r="G15" s="251">
        <v>8398035467</v>
      </c>
      <c r="H15" s="249"/>
      <c r="I15" s="7">
        <f t="shared" si="4"/>
        <v>13587035467</v>
      </c>
      <c r="J15" s="250">
        <f t="shared" si="5"/>
        <v>5189000000</v>
      </c>
      <c r="K15" s="251">
        <f t="shared" si="6"/>
        <v>8398035467</v>
      </c>
      <c r="L15" s="7"/>
      <c r="M15" s="7">
        <f t="shared" si="7"/>
        <v>8398035467</v>
      </c>
      <c r="N15" s="7"/>
      <c r="O15" s="7"/>
      <c r="P15" s="65">
        <f t="shared" si="0"/>
        <v>100</v>
      </c>
      <c r="Q15" s="65">
        <f t="shared" si="0"/>
        <v>100</v>
      </c>
      <c r="R15" s="65">
        <f t="shared" si="0"/>
        <v>100</v>
      </c>
      <c r="S15" s="65"/>
      <c r="T15" s="65">
        <f t="shared" si="1"/>
        <v>100</v>
      </c>
      <c r="U15" s="56"/>
    </row>
    <row r="16" spans="1:21" ht="18.75" customHeight="1">
      <c r="A16" s="64">
        <v>4</v>
      </c>
      <c r="B16" s="56" t="s">
        <v>294</v>
      </c>
      <c r="C16" s="67">
        <f t="shared" si="2"/>
        <v>15764984380</v>
      </c>
      <c r="D16" s="250">
        <v>5289000000</v>
      </c>
      <c r="E16" s="68">
        <f t="shared" si="3"/>
        <v>10475984380</v>
      </c>
      <c r="F16" s="7"/>
      <c r="G16" s="251">
        <v>10475984380</v>
      </c>
      <c r="H16" s="249"/>
      <c r="I16" s="7">
        <f t="shared" si="4"/>
        <v>15764984380</v>
      </c>
      <c r="J16" s="250">
        <f t="shared" si="5"/>
        <v>5289000000</v>
      </c>
      <c r="K16" s="251">
        <f t="shared" si="6"/>
        <v>10475984380</v>
      </c>
      <c r="L16" s="7"/>
      <c r="M16" s="7">
        <f t="shared" si="7"/>
        <v>10475984380</v>
      </c>
      <c r="N16" s="7"/>
      <c r="O16" s="7"/>
      <c r="P16" s="65">
        <f t="shared" si="0"/>
        <v>100</v>
      </c>
      <c r="Q16" s="65">
        <f t="shared" si="0"/>
        <v>100</v>
      </c>
      <c r="R16" s="65">
        <f t="shared" si="0"/>
        <v>100</v>
      </c>
      <c r="S16" s="65"/>
      <c r="T16" s="65">
        <f t="shared" si="1"/>
        <v>100</v>
      </c>
      <c r="U16" s="56"/>
    </row>
    <row r="17" spans="1:21" ht="18.75" customHeight="1">
      <c r="A17" s="64">
        <v>5</v>
      </c>
      <c r="B17" s="56" t="s">
        <v>295</v>
      </c>
      <c r="C17" s="67">
        <f t="shared" si="2"/>
        <v>17186436200</v>
      </c>
      <c r="D17" s="250">
        <v>4883000000</v>
      </c>
      <c r="E17" s="68">
        <f t="shared" si="3"/>
        <v>12303436200</v>
      </c>
      <c r="F17" s="7"/>
      <c r="G17" s="251">
        <v>12303436200</v>
      </c>
      <c r="H17" s="249"/>
      <c r="I17" s="7">
        <f t="shared" si="4"/>
        <v>17186436200</v>
      </c>
      <c r="J17" s="250">
        <f t="shared" si="5"/>
        <v>4883000000</v>
      </c>
      <c r="K17" s="251">
        <f t="shared" si="6"/>
        <v>12303436200</v>
      </c>
      <c r="L17" s="7"/>
      <c r="M17" s="7">
        <f t="shared" si="7"/>
        <v>12303436200</v>
      </c>
      <c r="N17" s="7"/>
      <c r="O17" s="7"/>
      <c r="P17" s="65">
        <f t="shared" si="0"/>
        <v>100</v>
      </c>
      <c r="Q17" s="65">
        <f t="shared" si="0"/>
        <v>100</v>
      </c>
      <c r="R17" s="65">
        <f t="shared" si="0"/>
        <v>100</v>
      </c>
      <c r="S17" s="65"/>
      <c r="T17" s="65">
        <f t="shared" si="1"/>
        <v>100</v>
      </c>
      <c r="U17" s="56"/>
    </row>
    <row r="18" spans="1:21" ht="18.75" customHeight="1">
      <c r="A18" s="64">
        <v>6</v>
      </c>
      <c r="B18" s="56" t="s">
        <v>296</v>
      </c>
      <c r="C18" s="67">
        <f t="shared" si="2"/>
        <v>9135967420</v>
      </c>
      <c r="D18" s="250">
        <v>4689000000</v>
      </c>
      <c r="E18" s="68">
        <f t="shared" si="3"/>
        <v>4446967420</v>
      </c>
      <c r="F18" s="7"/>
      <c r="G18" s="251">
        <v>4446967420</v>
      </c>
      <c r="H18" s="249"/>
      <c r="I18" s="7">
        <f t="shared" si="4"/>
        <v>9135967420</v>
      </c>
      <c r="J18" s="250">
        <f t="shared" si="5"/>
        <v>4689000000</v>
      </c>
      <c r="K18" s="251">
        <f t="shared" si="6"/>
        <v>4446967420</v>
      </c>
      <c r="L18" s="7"/>
      <c r="M18" s="7">
        <f t="shared" si="7"/>
        <v>4446967420</v>
      </c>
      <c r="N18" s="7"/>
      <c r="O18" s="7"/>
      <c r="P18" s="65">
        <f t="shared" si="0"/>
        <v>100</v>
      </c>
      <c r="Q18" s="65">
        <f t="shared" si="0"/>
        <v>100</v>
      </c>
      <c r="R18" s="65">
        <f t="shared" si="0"/>
        <v>100</v>
      </c>
      <c r="S18" s="65"/>
      <c r="T18" s="65">
        <f t="shared" si="1"/>
        <v>100</v>
      </c>
      <c r="U18" s="56"/>
    </row>
    <row r="19" spans="1:21" ht="18.75" customHeight="1">
      <c r="A19" s="64">
        <v>7</v>
      </c>
      <c r="B19" s="56" t="s">
        <v>48</v>
      </c>
      <c r="C19" s="67">
        <f t="shared" si="2"/>
        <v>21796449195</v>
      </c>
      <c r="D19" s="250">
        <v>6138000000</v>
      </c>
      <c r="E19" s="68">
        <f t="shared" si="3"/>
        <v>15658449195</v>
      </c>
      <c r="F19" s="7"/>
      <c r="G19" s="251">
        <v>15658449195</v>
      </c>
      <c r="H19" s="249"/>
      <c r="I19" s="7">
        <f t="shared" si="4"/>
        <v>21796449195</v>
      </c>
      <c r="J19" s="250">
        <f t="shared" si="5"/>
        <v>6138000000</v>
      </c>
      <c r="K19" s="251">
        <f t="shared" si="6"/>
        <v>15658449195</v>
      </c>
      <c r="L19" s="7"/>
      <c r="M19" s="7">
        <f t="shared" si="7"/>
        <v>15658449195</v>
      </c>
      <c r="N19" s="7"/>
      <c r="O19" s="7"/>
      <c r="P19" s="65">
        <f t="shared" si="0"/>
        <v>100</v>
      </c>
      <c r="Q19" s="65">
        <f t="shared" si="0"/>
        <v>100</v>
      </c>
      <c r="R19" s="65">
        <f t="shared" si="0"/>
        <v>100</v>
      </c>
      <c r="S19" s="65"/>
      <c r="T19" s="65">
        <f t="shared" si="1"/>
        <v>100</v>
      </c>
      <c r="U19" s="56"/>
    </row>
    <row r="20" spans="1:21" ht="18.75" customHeight="1">
      <c r="A20" s="64">
        <v>8</v>
      </c>
      <c r="B20" s="56" t="s">
        <v>49</v>
      </c>
      <c r="C20" s="67">
        <f t="shared" si="2"/>
        <v>20986803348</v>
      </c>
      <c r="D20" s="250">
        <v>5526000000</v>
      </c>
      <c r="E20" s="68">
        <f t="shared" si="3"/>
        <v>15460803348</v>
      </c>
      <c r="F20" s="7"/>
      <c r="G20" s="251">
        <v>15460803348</v>
      </c>
      <c r="H20" s="249"/>
      <c r="I20" s="7">
        <f t="shared" si="4"/>
        <v>20986803348</v>
      </c>
      <c r="J20" s="250">
        <f t="shared" si="5"/>
        <v>5526000000</v>
      </c>
      <c r="K20" s="251">
        <f t="shared" si="6"/>
        <v>15460803348</v>
      </c>
      <c r="L20" s="7"/>
      <c r="M20" s="7">
        <f t="shared" si="7"/>
        <v>15460803348</v>
      </c>
      <c r="N20" s="7"/>
      <c r="O20" s="7"/>
      <c r="P20" s="65">
        <f t="shared" si="0"/>
        <v>100</v>
      </c>
      <c r="Q20" s="65">
        <f t="shared" si="0"/>
        <v>100</v>
      </c>
      <c r="R20" s="65">
        <f t="shared" si="0"/>
        <v>100</v>
      </c>
      <c r="S20" s="65"/>
      <c r="T20" s="65">
        <f t="shared" si="1"/>
        <v>100</v>
      </c>
      <c r="U20" s="56"/>
    </row>
    <row r="21" spans="1:21" ht="18.75" customHeight="1">
      <c r="A21" s="64">
        <v>9</v>
      </c>
      <c r="B21" s="56" t="s">
        <v>491</v>
      </c>
      <c r="C21" s="67">
        <f t="shared" si="2"/>
        <v>9821957132</v>
      </c>
      <c r="D21" s="250">
        <v>4781000000</v>
      </c>
      <c r="E21" s="68">
        <f t="shared" si="3"/>
        <v>5040957132</v>
      </c>
      <c r="F21" s="7"/>
      <c r="G21" s="251">
        <v>5040957132</v>
      </c>
      <c r="H21" s="249"/>
      <c r="I21" s="7">
        <f t="shared" si="4"/>
        <v>9821957132</v>
      </c>
      <c r="J21" s="250">
        <f t="shared" si="5"/>
        <v>4781000000</v>
      </c>
      <c r="K21" s="251">
        <f t="shared" si="6"/>
        <v>5040957132</v>
      </c>
      <c r="L21" s="7"/>
      <c r="M21" s="7">
        <f t="shared" si="7"/>
        <v>5040957132</v>
      </c>
      <c r="N21" s="7"/>
      <c r="O21" s="7"/>
      <c r="P21" s="65">
        <f t="shared" si="0"/>
        <v>100</v>
      </c>
      <c r="Q21" s="65">
        <f t="shared" si="0"/>
        <v>100</v>
      </c>
      <c r="R21" s="65">
        <f t="shared" si="0"/>
        <v>100</v>
      </c>
      <c r="S21" s="65"/>
      <c r="T21" s="65">
        <f t="shared" si="1"/>
        <v>100</v>
      </c>
      <c r="U21" s="56"/>
    </row>
    <row r="22" spans="1:21" ht="18.75" customHeight="1">
      <c r="A22" s="64">
        <v>10</v>
      </c>
      <c r="B22" s="56" t="s">
        <v>50</v>
      </c>
      <c r="C22" s="67">
        <f t="shared" si="2"/>
        <v>13995389489</v>
      </c>
      <c r="D22" s="250">
        <v>5076000000</v>
      </c>
      <c r="E22" s="68">
        <f t="shared" si="3"/>
        <v>8919389489</v>
      </c>
      <c r="F22" s="7"/>
      <c r="G22" s="251">
        <v>8919389489</v>
      </c>
      <c r="H22" s="249"/>
      <c r="I22" s="7">
        <f t="shared" si="4"/>
        <v>13995389489</v>
      </c>
      <c r="J22" s="250">
        <f t="shared" si="5"/>
        <v>5076000000</v>
      </c>
      <c r="K22" s="251">
        <f t="shared" si="6"/>
        <v>8919389489</v>
      </c>
      <c r="L22" s="7"/>
      <c r="M22" s="7">
        <f t="shared" si="7"/>
        <v>8919389489</v>
      </c>
      <c r="N22" s="7"/>
      <c r="O22" s="7"/>
      <c r="P22" s="65">
        <f t="shared" si="0"/>
        <v>100</v>
      </c>
      <c r="Q22" s="65">
        <f t="shared" si="0"/>
        <v>100</v>
      </c>
      <c r="R22" s="65">
        <f t="shared" si="0"/>
        <v>100</v>
      </c>
      <c r="S22" s="65"/>
      <c r="T22" s="65">
        <f t="shared" si="1"/>
        <v>100</v>
      </c>
      <c r="U22" s="56"/>
    </row>
    <row r="23" spans="1:21" ht="18.75" customHeight="1">
      <c r="A23" s="64">
        <v>11</v>
      </c>
      <c r="B23" s="56" t="s">
        <v>51</v>
      </c>
      <c r="C23" s="67">
        <f t="shared" si="2"/>
        <v>16398903356</v>
      </c>
      <c r="D23" s="250">
        <v>5864000000</v>
      </c>
      <c r="E23" s="68">
        <f t="shared" si="3"/>
        <v>10534903356</v>
      </c>
      <c r="F23" s="7"/>
      <c r="G23" s="251">
        <v>10534903356</v>
      </c>
      <c r="H23" s="249"/>
      <c r="I23" s="7">
        <f t="shared" si="4"/>
        <v>16398903356</v>
      </c>
      <c r="J23" s="250">
        <f t="shared" si="5"/>
        <v>5864000000</v>
      </c>
      <c r="K23" s="251">
        <f t="shared" si="6"/>
        <v>10534903356</v>
      </c>
      <c r="L23" s="7"/>
      <c r="M23" s="7">
        <f t="shared" si="7"/>
        <v>10534903356</v>
      </c>
      <c r="N23" s="7"/>
      <c r="O23" s="7"/>
      <c r="P23" s="65">
        <f t="shared" si="0"/>
        <v>100</v>
      </c>
      <c r="Q23" s="65">
        <f t="shared" si="0"/>
        <v>100</v>
      </c>
      <c r="R23" s="65">
        <f t="shared" si="0"/>
        <v>100</v>
      </c>
      <c r="S23" s="65"/>
      <c r="T23" s="65">
        <f t="shared" si="1"/>
        <v>100</v>
      </c>
      <c r="U23" s="56"/>
    </row>
    <row r="24" spans="1:21" ht="18.75" customHeight="1">
      <c r="A24" s="64">
        <v>12</v>
      </c>
      <c r="B24" s="56" t="s">
        <v>52</v>
      </c>
      <c r="C24" s="67">
        <f t="shared" si="2"/>
        <v>13059329756</v>
      </c>
      <c r="D24" s="250">
        <v>5563000000</v>
      </c>
      <c r="E24" s="68">
        <f t="shared" si="3"/>
        <v>7496329756</v>
      </c>
      <c r="F24" s="7"/>
      <c r="G24" s="251">
        <v>7496329756</v>
      </c>
      <c r="H24" s="249"/>
      <c r="I24" s="7">
        <f t="shared" si="4"/>
        <v>13059329756</v>
      </c>
      <c r="J24" s="250">
        <f t="shared" si="5"/>
        <v>5563000000</v>
      </c>
      <c r="K24" s="251">
        <f t="shared" si="6"/>
        <v>7496329756</v>
      </c>
      <c r="L24" s="7"/>
      <c r="M24" s="7">
        <f t="shared" si="7"/>
        <v>7496329756</v>
      </c>
      <c r="N24" s="7"/>
      <c r="O24" s="7"/>
      <c r="P24" s="65">
        <f t="shared" si="0"/>
        <v>100</v>
      </c>
      <c r="Q24" s="65">
        <f t="shared" si="0"/>
        <v>100</v>
      </c>
      <c r="R24" s="65">
        <f t="shared" si="0"/>
        <v>100</v>
      </c>
      <c r="S24" s="65"/>
      <c r="T24" s="65">
        <f t="shared" si="1"/>
        <v>100</v>
      </c>
      <c r="U24" s="56"/>
    </row>
    <row r="25" spans="1:21" ht="18.75" customHeight="1">
      <c r="A25" s="64">
        <v>13</v>
      </c>
      <c r="B25" s="56" t="s">
        <v>492</v>
      </c>
      <c r="C25" s="67">
        <f t="shared" si="2"/>
        <v>14315203980</v>
      </c>
      <c r="D25" s="250">
        <v>4985000000</v>
      </c>
      <c r="E25" s="68">
        <f t="shared" si="3"/>
        <v>9330203980</v>
      </c>
      <c r="F25" s="7"/>
      <c r="G25" s="251">
        <v>9330203980</v>
      </c>
      <c r="H25" s="249"/>
      <c r="I25" s="7">
        <f t="shared" si="4"/>
        <v>14315203980</v>
      </c>
      <c r="J25" s="250">
        <f t="shared" si="5"/>
        <v>4985000000</v>
      </c>
      <c r="K25" s="251">
        <f t="shared" si="6"/>
        <v>9330203980</v>
      </c>
      <c r="L25" s="7"/>
      <c r="M25" s="7">
        <f t="shared" si="7"/>
        <v>9330203980</v>
      </c>
      <c r="N25" s="7"/>
      <c r="O25" s="7"/>
      <c r="P25" s="65">
        <f t="shared" si="0"/>
        <v>100</v>
      </c>
      <c r="Q25" s="65">
        <f t="shared" si="0"/>
        <v>100</v>
      </c>
      <c r="R25" s="65">
        <f t="shared" si="0"/>
        <v>100</v>
      </c>
      <c r="S25" s="65"/>
      <c r="T25" s="65">
        <f t="shared" si="1"/>
        <v>100</v>
      </c>
      <c r="U25" s="56"/>
    </row>
    <row r="26" spans="1:21" ht="18.75" customHeight="1">
      <c r="A26" s="64">
        <v>14</v>
      </c>
      <c r="B26" s="56" t="s">
        <v>493</v>
      </c>
      <c r="C26" s="67">
        <f t="shared" si="2"/>
        <v>10972344380</v>
      </c>
      <c r="D26" s="250">
        <v>5069000000</v>
      </c>
      <c r="E26" s="68">
        <f t="shared" si="3"/>
        <v>5903344380</v>
      </c>
      <c r="F26" s="7"/>
      <c r="G26" s="251">
        <v>5903344380</v>
      </c>
      <c r="H26" s="249"/>
      <c r="I26" s="7">
        <f t="shared" si="4"/>
        <v>10972344380</v>
      </c>
      <c r="J26" s="250">
        <f t="shared" si="5"/>
        <v>5069000000</v>
      </c>
      <c r="K26" s="251">
        <f t="shared" si="6"/>
        <v>5903344380</v>
      </c>
      <c r="L26" s="7"/>
      <c r="M26" s="7">
        <f t="shared" si="7"/>
        <v>5903344380</v>
      </c>
      <c r="N26" s="7"/>
      <c r="O26" s="7"/>
      <c r="P26" s="65">
        <f t="shared" si="0"/>
        <v>100</v>
      </c>
      <c r="Q26" s="65">
        <f t="shared" si="0"/>
        <v>100</v>
      </c>
      <c r="R26" s="65">
        <f t="shared" si="0"/>
        <v>100</v>
      </c>
      <c r="S26" s="65"/>
      <c r="T26" s="65">
        <f t="shared" si="1"/>
        <v>100</v>
      </c>
      <c r="U26" s="56"/>
    </row>
    <row r="27" spans="1:21" ht="18.75" customHeight="1">
      <c r="A27" s="64">
        <v>15</v>
      </c>
      <c r="B27" s="56" t="s">
        <v>494</v>
      </c>
      <c r="C27" s="67">
        <f t="shared" si="2"/>
        <v>13513613443</v>
      </c>
      <c r="D27" s="250">
        <v>5215000000</v>
      </c>
      <c r="E27" s="68">
        <f t="shared" si="3"/>
        <v>8298613443</v>
      </c>
      <c r="F27" s="7"/>
      <c r="G27" s="251">
        <v>8298613443</v>
      </c>
      <c r="H27" s="249"/>
      <c r="I27" s="7">
        <f t="shared" si="4"/>
        <v>13513613443</v>
      </c>
      <c r="J27" s="250">
        <f t="shared" si="5"/>
        <v>5215000000</v>
      </c>
      <c r="K27" s="251">
        <f t="shared" si="6"/>
        <v>8298613443</v>
      </c>
      <c r="L27" s="7"/>
      <c r="M27" s="7">
        <f t="shared" si="7"/>
        <v>8298613443</v>
      </c>
      <c r="N27" s="7"/>
      <c r="O27" s="7"/>
      <c r="P27" s="65">
        <f t="shared" si="0"/>
        <v>100</v>
      </c>
      <c r="Q27" s="65">
        <f t="shared" si="0"/>
        <v>100</v>
      </c>
      <c r="R27" s="65">
        <f t="shared" si="0"/>
        <v>100</v>
      </c>
      <c r="S27" s="65"/>
      <c r="T27" s="65">
        <f t="shared" si="1"/>
        <v>100</v>
      </c>
      <c r="U27" s="56"/>
    </row>
  </sheetData>
  <sheetProtection/>
  <mergeCells count="19">
    <mergeCell ref="I8:O8"/>
    <mergeCell ref="P8:U8"/>
    <mergeCell ref="A5:T5"/>
    <mergeCell ref="A8:A10"/>
    <mergeCell ref="B8:B10"/>
    <mergeCell ref="C8:H8"/>
    <mergeCell ref="C9:C10"/>
    <mergeCell ref="D9:D10"/>
    <mergeCell ref="E9:H9"/>
    <mergeCell ref="R1:U1"/>
    <mergeCell ref="A6:U6"/>
    <mergeCell ref="A4:U4"/>
    <mergeCell ref="K9:O9"/>
    <mergeCell ref="Q9:Q10"/>
    <mergeCell ref="R9:U9"/>
    <mergeCell ref="R7:U7"/>
    <mergeCell ref="P9:P10"/>
    <mergeCell ref="I9:I10"/>
    <mergeCell ref="J9:J10"/>
  </mergeCells>
  <printOptions/>
  <pageMargins left="0.5905511811023623" right="0.31496062992125984" top="0.4330708661417323" bottom="0.31496062992125984" header="0.5118110236220472" footer="0.3149606299212598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rgb="FF00B0F0"/>
  </sheetPr>
  <dimension ref="A1:U24"/>
  <sheetViews>
    <sheetView zoomScalePageLayoutView="0" workbookViewId="0" topLeftCell="A1">
      <selection activeCell="A5" sqref="A5:U5"/>
    </sheetView>
  </sheetViews>
  <sheetFormatPr defaultColWidth="8.8515625" defaultRowHeight="12.75"/>
  <cols>
    <col min="1" max="1" width="5.28125" style="60" customWidth="1"/>
    <col min="2" max="2" width="25.8515625" style="59" customWidth="1"/>
    <col min="3" max="3" width="8.28125" style="59" customWidth="1"/>
    <col min="4" max="4" width="7.57421875" style="59" customWidth="1"/>
    <col min="5" max="5" width="7.28125" style="59" customWidth="1"/>
    <col min="6" max="6" width="4.140625" style="69" customWidth="1"/>
    <col min="7" max="7" width="7.57421875" style="59" customWidth="1"/>
    <col min="8" max="8" width="5.7109375" style="59" customWidth="1"/>
    <col min="9" max="9" width="7.421875" style="59" customWidth="1"/>
    <col min="10" max="10" width="7.57421875" style="59" customWidth="1"/>
    <col min="11" max="11" width="6.421875" style="59" customWidth="1"/>
    <col min="12" max="12" width="5.7109375" style="59" customWidth="1"/>
    <col min="13" max="13" width="5.28125" style="59" customWidth="1"/>
    <col min="14" max="14" width="7.421875" style="59" customWidth="1"/>
    <col min="15" max="15" width="6.8515625" style="59" customWidth="1"/>
    <col min="16" max="16" width="6.7109375" style="59" customWidth="1"/>
    <col min="17" max="17" width="5.140625" style="59" customWidth="1"/>
    <col min="18" max="18" width="5.8515625" style="59" customWidth="1"/>
    <col min="19" max="19" width="5.28125" style="59" customWidth="1"/>
    <col min="20" max="20" width="6.421875" style="59" customWidth="1"/>
    <col min="21" max="21" width="5.00390625" style="59" customWidth="1"/>
    <col min="22" max="16384" width="8.8515625" style="59" customWidth="1"/>
  </cols>
  <sheetData>
    <row r="1" spans="1:21" ht="16.5" customHeight="1">
      <c r="A1" s="36" t="s">
        <v>490</v>
      </c>
      <c r="R1" s="471" t="s">
        <v>53</v>
      </c>
      <c r="S1" s="471"/>
      <c r="T1" s="471"/>
      <c r="U1" s="471"/>
    </row>
    <row r="2" ht="14.25">
      <c r="A2" s="36" t="s">
        <v>489</v>
      </c>
    </row>
    <row r="3" spans="1:21" ht="24" customHeight="1">
      <c r="A3" s="485" t="s">
        <v>583</v>
      </c>
      <c r="B3" s="485"/>
      <c r="C3" s="485"/>
      <c r="D3" s="485"/>
      <c r="E3" s="485"/>
      <c r="F3" s="485"/>
      <c r="G3" s="485"/>
      <c r="H3" s="485"/>
      <c r="I3" s="485"/>
      <c r="J3" s="485"/>
      <c r="K3" s="485"/>
      <c r="L3" s="485"/>
      <c r="M3" s="485"/>
      <c r="N3" s="485"/>
      <c r="O3" s="485"/>
      <c r="P3" s="485"/>
      <c r="Q3" s="485"/>
      <c r="R3" s="485"/>
      <c r="S3" s="485"/>
      <c r="T3" s="485"/>
      <c r="U3" s="485"/>
    </row>
    <row r="4" spans="1:21" ht="18" customHeight="1">
      <c r="A4" s="487" t="s">
        <v>36</v>
      </c>
      <c r="B4" s="487"/>
      <c r="C4" s="487"/>
      <c r="D4" s="487"/>
      <c r="E4" s="487"/>
      <c r="F4" s="487"/>
      <c r="G4" s="487"/>
      <c r="H4" s="487"/>
      <c r="I4" s="487"/>
      <c r="J4" s="487"/>
      <c r="K4" s="487"/>
      <c r="L4" s="487"/>
      <c r="M4" s="487"/>
      <c r="N4" s="487"/>
      <c r="O4" s="487"/>
      <c r="P4" s="487"/>
      <c r="Q4" s="487"/>
      <c r="R4" s="487"/>
      <c r="S4" s="487"/>
      <c r="T4" s="487"/>
      <c r="U4" s="487"/>
    </row>
    <row r="5" spans="1:21" ht="18" customHeight="1">
      <c r="A5" s="486" t="s">
        <v>605</v>
      </c>
      <c r="B5" s="486"/>
      <c r="C5" s="486"/>
      <c r="D5" s="486"/>
      <c r="E5" s="486"/>
      <c r="F5" s="486"/>
      <c r="G5" s="486"/>
      <c r="H5" s="486"/>
      <c r="I5" s="486"/>
      <c r="J5" s="486"/>
      <c r="K5" s="486"/>
      <c r="L5" s="486"/>
      <c r="M5" s="486"/>
      <c r="N5" s="486"/>
      <c r="O5" s="486"/>
      <c r="P5" s="486"/>
      <c r="Q5" s="486"/>
      <c r="R5" s="486"/>
      <c r="S5" s="486"/>
      <c r="T5" s="486"/>
      <c r="U5" s="486"/>
    </row>
    <row r="6" spans="1:21" ht="18" customHeight="1">
      <c r="A6" s="55"/>
      <c r="B6" s="55"/>
      <c r="C6" s="55"/>
      <c r="D6" s="55"/>
      <c r="E6" s="55"/>
      <c r="F6" s="55"/>
      <c r="G6" s="55"/>
      <c r="H6" s="55"/>
      <c r="I6" s="55"/>
      <c r="J6" s="55"/>
      <c r="K6" s="55"/>
      <c r="L6" s="55"/>
      <c r="M6" s="55"/>
      <c r="N6" s="55"/>
      <c r="O6" s="55"/>
      <c r="P6" s="55"/>
      <c r="Q6" s="55"/>
      <c r="R6" s="55"/>
      <c r="S6" s="484" t="s">
        <v>61</v>
      </c>
      <c r="T6" s="484"/>
      <c r="U6" s="484"/>
    </row>
    <row r="7" spans="1:21" s="70" customFormat="1" ht="18" customHeight="1">
      <c r="A7" s="483" t="s">
        <v>0</v>
      </c>
      <c r="B7" s="483" t="s">
        <v>207</v>
      </c>
      <c r="C7" s="483" t="s">
        <v>2</v>
      </c>
      <c r="D7" s="483"/>
      <c r="E7" s="483"/>
      <c r="F7" s="483"/>
      <c r="G7" s="483" t="s">
        <v>4</v>
      </c>
      <c r="H7" s="483"/>
      <c r="I7" s="483"/>
      <c r="J7" s="483"/>
      <c r="K7" s="483"/>
      <c r="L7" s="483"/>
      <c r="M7" s="483"/>
      <c r="N7" s="483"/>
      <c r="O7" s="483"/>
      <c r="P7" s="483"/>
      <c r="Q7" s="483"/>
      <c r="R7" s="483" t="s">
        <v>23</v>
      </c>
      <c r="S7" s="483"/>
      <c r="T7" s="483"/>
      <c r="U7" s="483"/>
    </row>
    <row r="8" spans="1:21" s="70" customFormat="1" ht="15" customHeight="1">
      <c r="A8" s="483"/>
      <c r="B8" s="483"/>
      <c r="C8" s="483" t="s">
        <v>38</v>
      </c>
      <c r="D8" s="483" t="s">
        <v>54</v>
      </c>
      <c r="E8" s="483"/>
      <c r="F8" s="483" t="s">
        <v>28</v>
      </c>
      <c r="G8" s="483" t="s">
        <v>38</v>
      </c>
      <c r="H8" s="483" t="s">
        <v>54</v>
      </c>
      <c r="I8" s="483"/>
      <c r="J8" s="483" t="s">
        <v>290</v>
      </c>
      <c r="K8" s="483"/>
      <c r="L8" s="483"/>
      <c r="M8" s="483"/>
      <c r="N8" s="483"/>
      <c r="O8" s="483"/>
      <c r="P8" s="483"/>
      <c r="Q8" s="483" t="s">
        <v>28</v>
      </c>
      <c r="R8" s="483" t="s">
        <v>38</v>
      </c>
      <c r="S8" s="483" t="s">
        <v>54</v>
      </c>
      <c r="T8" s="483"/>
      <c r="U8" s="483" t="s">
        <v>28</v>
      </c>
    </row>
    <row r="9" spans="1:21" s="70" customFormat="1" ht="21" customHeight="1">
      <c r="A9" s="483"/>
      <c r="B9" s="483"/>
      <c r="C9" s="483"/>
      <c r="D9" s="483" t="s">
        <v>55</v>
      </c>
      <c r="E9" s="483" t="s">
        <v>56</v>
      </c>
      <c r="F9" s="483"/>
      <c r="G9" s="483"/>
      <c r="H9" s="483" t="s">
        <v>55</v>
      </c>
      <c r="I9" s="483" t="s">
        <v>56</v>
      </c>
      <c r="J9" s="483" t="s">
        <v>38</v>
      </c>
      <c r="K9" s="483" t="s">
        <v>11</v>
      </c>
      <c r="L9" s="483"/>
      <c r="M9" s="483"/>
      <c r="N9" s="483" t="s">
        <v>56</v>
      </c>
      <c r="O9" s="483"/>
      <c r="P9" s="483"/>
      <c r="Q9" s="483"/>
      <c r="R9" s="483"/>
      <c r="S9" s="483" t="s">
        <v>11</v>
      </c>
      <c r="T9" s="483" t="s">
        <v>15</v>
      </c>
      <c r="U9" s="483"/>
    </row>
    <row r="10" spans="1:21" s="70" customFormat="1" ht="12.75">
      <c r="A10" s="483"/>
      <c r="B10" s="483"/>
      <c r="C10" s="483"/>
      <c r="D10" s="483"/>
      <c r="E10" s="483"/>
      <c r="F10" s="483"/>
      <c r="G10" s="483"/>
      <c r="H10" s="483"/>
      <c r="I10" s="483"/>
      <c r="J10" s="483"/>
      <c r="K10" s="483" t="s">
        <v>38</v>
      </c>
      <c r="L10" s="483" t="s">
        <v>104</v>
      </c>
      <c r="M10" s="483"/>
      <c r="N10" s="483" t="s">
        <v>38</v>
      </c>
      <c r="O10" s="483" t="s">
        <v>104</v>
      </c>
      <c r="P10" s="483"/>
      <c r="Q10" s="483"/>
      <c r="R10" s="483"/>
      <c r="S10" s="483"/>
      <c r="T10" s="483"/>
      <c r="U10" s="483"/>
    </row>
    <row r="11" spans="1:21" s="70" customFormat="1" ht="42" customHeight="1">
      <c r="A11" s="483"/>
      <c r="B11" s="483"/>
      <c r="C11" s="483"/>
      <c r="D11" s="483"/>
      <c r="E11" s="483"/>
      <c r="F11" s="483"/>
      <c r="G11" s="483"/>
      <c r="H11" s="483"/>
      <c r="I11" s="483"/>
      <c r="J11" s="483"/>
      <c r="K11" s="483"/>
      <c r="L11" s="14" t="s">
        <v>57</v>
      </c>
      <c r="M11" s="15" t="s">
        <v>58</v>
      </c>
      <c r="N11" s="483"/>
      <c r="O11" s="14" t="s">
        <v>57</v>
      </c>
      <c r="P11" s="15" t="s">
        <v>58</v>
      </c>
      <c r="Q11" s="483"/>
      <c r="R11" s="483"/>
      <c r="S11" s="483"/>
      <c r="T11" s="483"/>
      <c r="U11" s="483"/>
    </row>
    <row r="12" spans="1:21" s="71" customFormat="1" ht="18.75" customHeight="1">
      <c r="A12" s="14" t="s">
        <v>9</v>
      </c>
      <c r="B12" s="14" t="s">
        <v>20</v>
      </c>
      <c r="C12" s="14">
        <v>1</v>
      </c>
      <c r="D12" s="14">
        <v>2</v>
      </c>
      <c r="E12" s="14">
        <v>3</v>
      </c>
      <c r="F12" s="14">
        <v>4</v>
      </c>
      <c r="G12" s="14">
        <v>4</v>
      </c>
      <c r="H12" s="14">
        <v>5</v>
      </c>
      <c r="I12" s="14">
        <v>6</v>
      </c>
      <c r="J12" s="14">
        <v>7</v>
      </c>
      <c r="K12" s="14">
        <v>8</v>
      </c>
      <c r="L12" s="14">
        <v>9</v>
      </c>
      <c r="M12" s="14">
        <v>10</v>
      </c>
      <c r="N12" s="14">
        <v>11</v>
      </c>
      <c r="O12" s="14">
        <v>12</v>
      </c>
      <c r="P12" s="14">
        <v>13</v>
      </c>
      <c r="Q12" s="14">
        <v>14</v>
      </c>
      <c r="R12" s="14" t="s">
        <v>374</v>
      </c>
      <c r="S12" s="14" t="s">
        <v>375</v>
      </c>
      <c r="T12" s="14" t="s">
        <v>376</v>
      </c>
      <c r="U12" s="14" t="s">
        <v>59</v>
      </c>
    </row>
    <row r="13" spans="1:21" s="70" customFormat="1" ht="21" customHeight="1">
      <c r="A13" s="12"/>
      <c r="B13" s="16" t="s">
        <v>27</v>
      </c>
      <c r="C13" s="17">
        <f aca="true" t="shared" si="0" ref="C13:I13">C14+C16</f>
        <v>0</v>
      </c>
      <c r="D13" s="17">
        <f t="shared" si="0"/>
        <v>0</v>
      </c>
      <c r="E13" s="17">
        <f t="shared" si="0"/>
        <v>0</v>
      </c>
      <c r="F13" s="17">
        <f t="shared" si="0"/>
        <v>0</v>
      </c>
      <c r="G13" s="17">
        <f t="shared" si="0"/>
        <v>0</v>
      </c>
      <c r="H13" s="17">
        <f t="shared" si="0"/>
        <v>0</v>
      </c>
      <c r="I13" s="17">
        <f t="shared" si="0"/>
        <v>0</v>
      </c>
      <c r="J13" s="17">
        <f>K13+N13</f>
        <v>0</v>
      </c>
      <c r="K13" s="17">
        <f aca="true" t="shared" si="1" ref="K13:Q13">K14+K16</f>
        <v>0</v>
      </c>
      <c r="L13" s="17">
        <f t="shared" si="1"/>
        <v>0</v>
      </c>
      <c r="M13" s="17">
        <f t="shared" si="1"/>
        <v>0</v>
      </c>
      <c r="N13" s="17">
        <f t="shared" si="1"/>
        <v>0</v>
      </c>
      <c r="O13" s="17">
        <f t="shared" si="1"/>
        <v>0</v>
      </c>
      <c r="P13" s="17">
        <f t="shared" si="1"/>
        <v>0</v>
      </c>
      <c r="Q13" s="17">
        <f t="shared" si="1"/>
        <v>0</v>
      </c>
      <c r="R13" s="18"/>
      <c r="S13" s="18"/>
      <c r="T13" s="22"/>
      <c r="U13" s="19"/>
    </row>
    <row r="14" spans="1:21" s="70" customFormat="1" ht="15.75">
      <c r="A14" s="13"/>
      <c r="B14" s="20" t="s">
        <v>377</v>
      </c>
      <c r="C14" s="28"/>
      <c r="D14" s="28"/>
      <c r="E14" s="28"/>
      <c r="F14" s="28"/>
      <c r="G14" s="28"/>
      <c r="H14" s="28"/>
      <c r="I14" s="28"/>
      <c r="J14" s="28"/>
      <c r="K14" s="28"/>
      <c r="L14" s="28"/>
      <c r="M14" s="28"/>
      <c r="N14" s="28"/>
      <c r="O14" s="28"/>
      <c r="P14" s="29"/>
      <c r="Q14" s="21"/>
      <c r="R14" s="25"/>
      <c r="S14" s="25"/>
      <c r="T14" s="19"/>
      <c r="U14" s="19"/>
    </row>
    <row r="15" spans="1:21" s="70" customFormat="1" ht="12.75">
      <c r="A15" s="13"/>
      <c r="B15" s="20"/>
      <c r="C15" s="28"/>
      <c r="D15" s="28"/>
      <c r="E15" s="28"/>
      <c r="F15" s="28"/>
      <c r="G15" s="28"/>
      <c r="H15" s="28"/>
      <c r="I15" s="28"/>
      <c r="J15" s="28"/>
      <c r="K15" s="30"/>
      <c r="L15" s="28"/>
      <c r="M15" s="28"/>
      <c r="N15" s="28"/>
      <c r="O15" s="28"/>
      <c r="P15" s="28"/>
      <c r="Q15" s="28"/>
      <c r="R15" s="18"/>
      <c r="S15" s="18"/>
      <c r="T15" s="22"/>
      <c r="U15" s="19"/>
    </row>
    <row r="16" spans="1:21" s="72" customFormat="1" ht="12.75">
      <c r="A16" s="13"/>
      <c r="B16" s="20"/>
      <c r="C16" s="17"/>
      <c r="D16" s="17"/>
      <c r="E16" s="17"/>
      <c r="F16" s="17"/>
      <c r="G16" s="17"/>
      <c r="H16" s="17"/>
      <c r="I16" s="17"/>
      <c r="J16" s="17"/>
      <c r="K16" s="30"/>
      <c r="L16" s="17"/>
      <c r="M16" s="17"/>
      <c r="N16" s="17"/>
      <c r="O16" s="17"/>
      <c r="P16" s="31"/>
      <c r="Q16" s="13"/>
      <c r="R16" s="18"/>
      <c r="S16" s="18"/>
      <c r="T16" s="22"/>
      <c r="U16" s="22"/>
    </row>
    <row r="17" spans="1:21" s="72" customFormat="1" ht="12.75">
      <c r="A17" s="13"/>
      <c r="B17" s="20"/>
      <c r="C17" s="17"/>
      <c r="D17" s="17"/>
      <c r="E17" s="17"/>
      <c r="F17" s="17"/>
      <c r="G17" s="17"/>
      <c r="H17" s="17"/>
      <c r="I17" s="17"/>
      <c r="J17" s="17"/>
      <c r="K17" s="30"/>
      <c r="L17" s="17"/>
      <c r="M17" s="17"/>
      <c r="N17" s="17"/>
      <c r="O17" s="17"/>
      <c r="P17" s="31"/>
      <c r="Q17" s="13"/>
      <c r="R17" s="18"/>
      <c r="S17" s="18"/>
      <c r="T17" s="22"/>
      <c r="U17" s="22"/>
    </row>
    <row r="18" spans="1:21" s="70" customFormat="1" ht="15.75">
      <c r="A18" s="23"/>
      <c r="B18" s="73"/>
      <c r="C18" s="30"/>
      <c r="D18" s="32"/>
      <c r="E18" s="32"/>
      <c r="F18" s="33"/>
      <c r="G18" s="30"/>
      <c r="H18" s="30"/>
      <c r="I18" s="34"/>
      <c r="J18" s="30"/>
      <c r="K18" s="30"/>
      <c r="L18" s="33"/>
      <c r="M18" s="33"/>
      <c r="N18" s="30"/>
      <c r="O18" s="34"/>
      <c r="P18" s="21"/>
      <c r="Q18" s="21"/>
      <c r="R18" s="25"/>
      <c r="S18" s="25"/>
      <c r="T18" s="19"/>
      <c r="U18" s="19"/>
    </row>
    <row r="19" spans="1:21" s="70" customFormat="1" ht="15.75">
      <c r="A19" s="23"/>
      <c r="B19" s="73"/>
      <c r="C19" s="30"/>
      <c r="D19" s="32"/>
      <c r="E19" s="32"/>
      <c r="F19" s="33"/>
      <c r="G19" s="30"/>
      <c r="H19" s="30"/>
      <c r="I19" s="34"/>
      <c r="J19" s="30"/>
      <c r="K19" s="30"/>
      <c r="L19" s="33"/>
      <c r="M19" s="33"/>
      <c r="N19" s="30"/>
      <c r="O19" s="34"/>
      <c r="P19" s="21"/>
      <c r="Q19" s="21"/>
      <c r="R19" s="25"/>
      <c r="S19" s="25"/>
      <c r="T19" s="19"/>
      <c r="U19" s="19"/>
    </row>
    <row r="20" spans="1:21" s="70" customFormat="1" ht="15.75">
      <c r="A20" s="23"/>
      <c r="B20" s="24"/>
      <c r="C20" s="30"/>
      <c r="D20" s="32"/>
      <c r="E20" s="32"/>
      <c r="F20" s="33"/>
      <c r="G20" s="30"/>
      <c r="H20" s="30"/>
      <c r="I20" s="34"/>
      <c r="J20" s="30"/>
      <c r="K20" s="30"/>
      <c r="L20" s="33"/>
      <c r="M20" s="33"/>
      <c r="N20" s="30"/>
      <c r="O20" s="34"/>
      <c r="P20" s="21"/>
      <c r="Q20" s="21"/>
      <c r="R20" s="25"/>
      <c r="S20" s="25"/>
      <c r="T20" s="19"/>
      <c r="U20" s="19"/>
    </row>
    <row r="21" spans="1:21" s="70" customFormat="1" ht="15.75">
      <c r="A21" s="23"/>
      <c r="B21" s="24"/>
      <c r="C21" s="30"/>
      <c r="D21" s="32"/>
      <c r="E21" s="32"/>
      <c r="F21" s="33"/>
      <c r="G21" s="30"/>
      <c r="H21" s="30"/>
      <c r="I21" s="34"/>
      <c r="J21" s="30"/>
      <c r="K21" s="30"/>
      <c r="L21" s="33"/>
      <c r="M21" s="33"/>
      <c r="N21" s="30"/>
      <c r="O21" s="34"/>
      <c r="P21" s="21"/>
      <c r="Q21" s="21"/>
      <c r="R21" s="25"/>
      <c r="S21" s="25"/>
      <c r="T21" s="19"/>
      <c r="U21" s="19"/>
    </row>
    <row r="22" spans="1:21" s="70" customFormat="1" ht="15.75">
      <c r="A22" s="23"/>
      <c r="B22" s="24"/>
      <c r="C22" s="30"/>
      <c r="D22" s="32"/>
      <c r="E22" s="32"/>
      <c r="F22" s="33"/>
      <c r="G22" s="30"/>
      <c r="H22" s="30"/>
      <c r="I22" s="34"/>
      <c r="J22" s="30"/>
      <c r="K22" s="30"/>
      <c r="L22" s="33"/>
      <c r="M22" s="33"/>
      <c r="N22" s="30"/>
      <c r="O22" s="34"/>
      <c r="P22" s="21"/>
      <c r="Q22" s="21"/>
      <c r="R22" s="25"/>
      <c r="S22" s="25"/>
      <c r="T22" s="19"/>
      <c r="U22" s="19"/>
    </row>
    <row r="23" spans="1:21" s="70" customFormat="1" ht="15.75">
      <c r="A23" s="23"/>
      <c r="B23" s="24"/>
      <c r="C23" s="30"/>
      <c r="D23" s="32"/>
      <c r="E23" s="32"/>
      <c r="F23" s="33"/>
      <c r="G23" s="30"/>
      <c r="H23" s="30"/>
      <c r="I23" s="30"/>
      <c r="J23" s="30"/>
      <c r="K23" s="30"/>
      <c r="L23" s="33"/>
      <c r="M23" s="33"/>
      <c r="N23" s="30"/>
      <c r="O23" s="34"/>
      <c r="P23" s="21"/>
      <c r="Q23" s="21"/>
      <c r="R23" s="25"/>
      <c r="S23" s="25"/>
      <c r="T23" s="19"/>
      <c r="U23" s="19"/>
    </row>
    <row r="24" spans="1:21" s="70" customFormat="1" ht="21.75" customHeight="1">
      <c r="A24" s="23"/>
      <c r="B24" s="24"/>
      <c r="C24" s="30"/>
      <c r="D24" s="32"/>
      <c r="E24" s="32"/>
      <c r="F24" s="33"/>
      <c r="G24" s="30"/>
      <c r="H24" s="30"/>
      <c r="I24" s="34"/>
      <c r="J24" s="30"/>
      <c r="K24" s="33"/>
      <c r="L24" s="33"/>
      <c r="M24" s="33"/>
      <c r="N24" s="30"/>
      <c r="O24" s="34"/>
      <c r="P24" s="21"/>
      <c r="Q24" s="21"/>
      <c r="R24" s="25"/>
      <c r="S24" s="25"/>
      <c r="T24" s="19"/>
      <c r="U24" s="19"/>
    </row>
  </sheetData>
  <sheetProtection/>
  <mergeCells count="33">
    <mergeCell ref="A3:U3"/>
    <mergeCell ref="A5:U5"/>
    <mergeCell ref="R1:U1"/>
    <mergeCell ref="A4:U4"/>
    <mergeCell ref="A7:A11"/>
    <mergeCell ref="B7:B11"/>
    <mergeCell ref="C7:F7"/>
    <mergeCell ref="G7:Q7"/>
    <mergeCell ref="K10:K11"/>
    <mergeCell ref="L10:M10"/>
    <mergeCell ref="Q8:Q11"/>
    <mergeCell ref="O10:P10"/>
    <mergeCell ref="C8:C11"/>
    <mergeCell ref="D8:E8"/>
    <mergeCell ref="F8:F11"/>
    <mergeCell ref="G8:G11"/>
    <mergeCell ref="J9:J11"/>
    <mergeCell ref="D9:D11"/>
    <mergeCell ref="E9:E11"/>
    <mergeCell ref="K9:M9"/>
    <mergeCell ref="N9:P9"/>
    <mergeCell ref="H8:I8"/>
    <mergeCell ref="J8:P8"/>
    <mergeCell ref="H9:H11"/>
    <mergeCell ref="I9:I11"/>
    <mergeCell ref="N10:N11"/>
    <mergeCell ref="T9:T11"/>
    <mergeCell ref="R8:R11"/>
    <mergeCell ref="S6:U6"/>
    <mergeCell ref="U8:U11"/>
    <mergeCell ref="S8:T8"/>
    <mergeCell ref="S9:S11"/>
    <mergeCell ref="R7:U7"/>
  </mergeCells>
  <printOptions/>
  <pageMargins left="0.26" right="0.26" top="0.34" bottom="0.3" header="0.5" footer="0.28"/>
  <pageSetup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sheetPr>
    <tabColor rgb="FF00B0F0"/>
  </sheetPr>
  <dimension ref="A1:H24"/>
  <sheetViews>
    <sheetView zoomScalePageLayoutView="0" workbookViewId="0" topLeftCell="A1">
      <selection activeCell="A6" sqref="A6:H6"/>
    </sheetView>
  </sheetViews>
  <sheetFormatPr defaultColWidth="9.140625" defaultRowHeight="12.75"/>
  <cols>
    <col min="1" max="1" width="30.57421875" style="75" customWidth="1"/>
    <col min="2" max="2" width="13.28125" style="75" customWidth="1"/>
    <col min="3" max="3" width="13.140625" style="75" customWidth="1"/>
    <col min="4" max="4" width="12.28125" style="75" customWidth="1"/>
    <col min="5" max="5" width="26.421875" style="75" customWidth="1"/>
    <col min="6" max="6" width="13.421875" style="75" customWidth="1"/>
    <col min="7" max="7" width="13.57421875" style="75" customWidth="1"/>
    <col min="8" max="8" width="12.421875" style="75" customWidth="1"/>
    <col min="9" max="16384" width="9.140625" style="75" customWidth="1"/>
  </cols>
  <sheetData>
    <row r="1" spans="1:8" s="254" customFormat="1" ht="15.75" customHeight="1">
      <c r="A1" s="252" t="s">
        <v>534</v>
      </c>
      <c r="B1" s="253"/>
      <c r="C1" s="253"/>
      <c r="D1" s="253"/>
      <c r="E1" s="488" t="s">
        <v>395</v>
      </c>
      <c r="F1" s="488"/>
      <c r="G1" s="488"/>
      <c r="H1" s="488"/>
    </row>
    <row r="2" spans="1:8" s="254" customFormat="1" ht="15.75" customHeight="1">
      <c r="A2" s="252" t="s">
        <v>489</v>
      </c>
      <c r="B2" s="253"/>
      <c r="C2" s="253"/>
      <c r="D2" s="253"/>
      <c r="E2" s="488"/>
      <c r="F2" s="488"/>
      <c r="G2" s="488"/>
      <c r="H2" s="488"/>
    </row>
    <row r="3" spans="1:8" s="254" customFormat="1" ht="15">
      <c r="A3" s="489" t="s">
        <v>591</v>
      </c>
      <c r="B3" s="489"/>
      <c r="C3" s="489"/>
      <c r="D3" s="489"/>
      <c r="E3" s="489"/>
      <c r="F3" s="489"/>
      <c r="G3" s="489"/>
      <c r="H3" s="489"/>
    </row>
    <row r="4" spans="1:8" s="254" customFormat="1" ht="12" customHeight="1">
      <c r="A4" s="489"/>
      <c r="B4" s="489"/>
      <c r="C4" s="489"/>
      <c r="D4" s="489"/>
      <c r="E4" s="489"/>
      <c r="F4" s="489"/>
      <c r="G4" s="489"/>
      <c r="H4" s="489"/>
    </row>
    <row r="5" spans="1:8" s="254" customFormat="1" ht="22.5" customHeight="1">
      <c r="A5" s="456" t="s">
        <v>36</v>
      </c>
      <c r="B5" s="456"/>
      <c r="C5" s="456"/>
      <c r="D5" s="456"/>
      <c r="E5" s="456"/>
      <c r="F5" s="456"/>
      <c r="G5" s="456"/>
      <c r="H5" s="456"/>
    </row>
    <row r="6" spans="1:8" s="254" customFormat="1" ht="27" customHeight="1">
      <c r="A6" s="442" t="s">
        <v>605</v>
      </c>
      <c r="B6" s="442"/>
      <c r="C6" s="442"/>
      <c r="D6" s="442"/>
      <c r="E6" s="442"/>
      <c r="F6" s="442"/>
      <c r="G6" s="442"/>
      <c r="H6" s="442"/>
    </row>
    <row r="7" spans="2:8" ht="15">
      <c r="B7" s="258"/>
      <c r="C7" s="258"/>
      <c r="D7" s="258"/>
      <c r="E7" s="258"/>
      <c r="F7" s="258"/>
      <c r="G7" s="492" t="s">
        <v>554</v>
      </c>
      <c r="H7" s="492"/>
    </row>
    <row r="8" spans="1:8" ht="19.5" customHeight="1">
      <c r="A8" s="490" t="s">
        <v>378</v>
      </c>
      <c r="B8" s="490" t="s">
        <v>38</v>
      </c>
      <c r="C8" s="490" t="s">
        <v>379</v>
      </c>
      <c r="D8" s="490" t="s">
        <v>380</v>
      </c>
      <c r="E8" s="490" t="s">
        <v>381</v>
      </c>
      <c r="F8" s="490" t="s">
        <v>38</v>
      </c>
      <c r="G8" s="490" t="s">
        <v>382</v>
      </c>
      <c r="H8" s="490" t="s">
        <v>383</v>
      </c>
    </row>
    <row r="9" spans="1:8" ht="20.25" customHeight="1">
      <c r="A9" s="491"/>
      <c r="B9" s="491"/>
      <c r="C9" s="491"/>
      <c r="D9" s="491"/>
      <c r="E9" s="491"/>
      <c r="F9" s="491"/>
      <c r="G9" s="491"/>
      <c r="H9" s="491"/>
    </row>
    <row r="10" spans="1:8" ht="18.75" customHeight="1">
      <c r="A10" s="255" t="s">
        <v>384</v>
      </c>
      <c r="B10" s="255" t="s">
        <v>347</v>
      </c>
      <c r="C10" s="255">
        <v>3</v>
      </c>
      <c r="D10" s="255">
        <v>4</v>
      </c>
      <c r="E10" s="255">
        <v>5</v>
      </c>
      <c r="F10" s="255">
        <v>6</v>
      </c>
      <c r="G10" s="255">
        <v>8</v>
      </c>
      <c r="H10" s="255">
        <v>9</v>
      </c>
    </row>
    <row r="11" spans="1:8" ht="33" customHeight="1">
      <c r="A11" s="76" t="s">
        <v>385</v>
      </c>
      <c r="B11" s="259">
        <f>C11+D11</f>
        <v>1610866605101</v>
      </c>
      <c r="C11" s="259">
        <f>C12+C23</f>
        <v>1338446234688</v>
      </c>
      <c r="D11" s="259">
        <f>D12+D23</f>
        <v>272420370413</v>
      </c>
      <c r="E11" s="260" t="s">
        <v>386</v>
      </c>
      <c r="F11" s="259">
        <f>F12+F23</f>
        <v>1483880767591</v>
      </c>
      <c r="G11" s="261">
        <f>G12+G23</f>
        <v>1218696125035</v>
      </c>
      <c r="H11" s="262">
        <f>H12+H23</f>
        <v>265184642556</v>
      </c>
    </row>
    <row r="12" spans="1:8" ht="34.5" customHeight="1">
      <c r="A12" s="76" t="s">
        <v>584</v>
      </c>
      <c r="B12" s="259">
        <f>C12+D12</f>
        <v>1610866605101</v>
      </c>
      <c r="C12" s="259">
        <f>C13+C14+C16+C17+C15+C19+C20</f>
        <v>1338446234688</v>
      </c>
      <c r="D12" s="259">
        <f>D13+D14+D16+D17+D15+D19+D20+D18</f>
        <v>272420370413</v>
      </c>
      <c r="E12" s="260" t="s">
        <v>585</v>
      </c>
      <c r="F12" s="259">
        <f>F13+F14+F15+F16+F17+F19+F20</f>
        <v>1483880767591</v>
      </c>
      <c r="G12" s="259">
        <f>G13+G14+G15+G16+G17+G19+G20</f>
        <v>1218696125035</v>
      </c>
      <c r="H12" s="263">
        <f>H13+H14+H15+H16+H17+H19+H20</f>
        <v>265184642556</v>
      </c>
    </row>
    <row r="13" spans="1:8" ht="42" customHeight="1">
      <c r="A13" s="74" t="s">
        <v>535</v>
      </c>
      <c r="B13" s="264">
        <f>C13+D13</f>
        <v>80945779458</v>
      </c>
      <c r="C13" s="264">
        <f>'[7]61-THU'!J38+'[7]61-THU'!J52+'[7]61-THU'!J57+'[7]61-THU'!J54+'[7]61-THU'!J64+'[7]61-THU'!J70+'[7]61-THU'!J77</f>
        <v>62147806993</v>
      </c>
      <c r="D13" s="264">
        <f>'[7]61-THU'!K14</f>
        <v>18797972465</v>
      </c>
      <c r="E13" s="265" t="s">
        <v>387</v>
      </c>
      <c r="F13" s="264">
        <f>G13+H13</f>
        <v>255772456062</v>
      </c>
      <c r="G13" s="264">
        <v>241096207062</v>
      </c>
      <c r="H13" s="264">
        <v>14676249000</v>
      </c>
    </row>
    <row r="14" spans="1:8" ht="42" customHeight="1">
      <c r="A14" s="74" t="s">
        <v>536</v>
      </c>
      <c r="B14" s="264">
        <f aca="true" t="shared" si="0" ref="B14:B22">C14+D14</f>
        <v>163786882335</v>
      </c>
      <c r="C14" s="264">
        <f>'[7]61-THU'!J35+'[7]61-THU'!J36+'[7]61-THU'!J37+'[7]61-THU'!J55+'[7]61-THU'!J56+'[7]61-THU'!J62</f>
        <v>163786882335</v>
      </c>
      <c r="D14" s="264">
        <v>0</v>
      </c>
      <c r="E14" s="265" t="s">
        <v>388</v>
      </c>
      <c r="F14" s="264">
        <f aca="true" t="shared" si="1" ref="F14:F20">G14+H14</f>
        <v>0</v>
      </c>
      <c r="G14" s="264">
        <v>0</v>
      </c>
      <c r="H14" s="266">
        <v>0</v>
      </c>
    </row>
    <row r="15" spans="1:8" ht="33.75" customHeight="1">
      <c r="A15" s="74" t="s">
        <v>537</v>
      </c>
      <c r="B15" s="264">
        <f t="shared" si="0"/>
        <v>0</v>
      </c>
      <c r="C15" s="264">
        <v>0</v>
      </c>
      <c r="D15" s="264">
        <v>0</v>
      </c>
      <c r="E15" s="265" t="s">
        <v>389</v>
      </c>
      <c r="F15" s="264">
        <f t="shared" si="1"/>
        <v>796042514698</v>
      </c>
      <c r="G15" s="267">
        <v>564114335611</v>
      </c>
      <c r="H15" s="268">
        <v>231928179087</v>
      </c>
    </row>
    <row r="16" spans="1:8" ht="42" customHeight="1">
      <c r="A16" s="74" t="s">
        <v>538</v>
      </c>
      <c r="B16" s="264">
        <f t="shared" si="0"/>
        <v>114265779155</v>
      </c>
      <c r="C16" s="264">
        <f>'[7]61-THU'!J130</f>
        <v>110967492590</v>
      </c>
      <c r="D16" s="264">
        <f>'[7]61-THU'!K130</f>
        <v>3298286565</v>
      </c>
      <c r="E16" s="265" t="s">
        <v>390</v>
      </c>
      <c r="F16" s="264">
        <f t="shared" si="1"/>
        <v>0</v>
      </c>
      <c r="G16" s="264">
        <v>0</v>
      </c>
      <c r="H16" s="269">
        <v>0</v>
      </c>
    </row>
    <row r="17" spans="1:8" ht="48" customHeight="1">
      <c r="A17" s="74" t="s">
        <v>539</v>
      </c>
      <c r="B17" s="264">
        <f t="shared" si="0"/>
        <v>150737420546</v>
      </c>
      <c r="C17" s="264">
        <f>'[7]61-THU'!J129</f>
        <v>125510552770</v>
      </c>
      <c r="D17" s="264">
        <f>'[7]61-THU'!K129</f>
        <v>25226867776</v>
      </c>
      <c r="E17" s="265" t="s">
        <v>586</v>
      </c>
      <c r="F17" s="264">
        <f t="shared" si="1"/>
        <v>222190779398</v>
      </c>
      <c r="G17" s="264">
        <v>222190779398</v>
      </c>
      <c r="H17" s="264">
        <v>0</v>
      </c>
    </row>
    <row r="18" spans="1:8" ht="34.5" customHeight="1">
      <c r="A18" s="74" t="s">
        <v>391</v>
      </c>
      <c r="B18" s="264">
        <f t="shared" si="0"/>
        <v>2906464209</v>
      </c>
      <c r="C18" s="264"/>
      <c r="D18" s="264">
        <f>'[7]61-THU'!K109</f>
        <v>2906464209</v>
      </c>
      <c r="E18" s="265"/>
      <c r="F18" s="264">
        <f t="shared" si="1"/>
        <v>0</v>
      </c>
      <c r="G18" s="264"/>
      <c r="H18" s="264"/>
    </row>
    <row r="19" spans="1:8" ht="36" customHeight="1">
      <c r="A19" s="74" t="s">
        <v>540</v>
      </c>
      <c r="B19" s="264">
        <f t="shared" si="0"/>
        <v>0</v>
      </c>
      <c r="C19" s="264">
        <v>0</v>
      </c>
      <c r="D19" s="264">
        <v>0</v>
      </c>
      <c r="E19" s="265" t="s">
        <v>587</v>
      </c>
      <c r="F19" s="264">
        <f t="shared" si="1"/>
        <v>200546150936</v>
      </c>
      <c r="G19" s="264">
        <f>'[8]70-1'!D9</f>
        <v>181965936467</v>
      </c>
      <c r="H19" s="264">
        <v>18580214469</v>
      </c>
    </row>
    <row r="20" spans="1:8" ht="44.25" customHeight="1">
      <c r="A20" s="74" t="s">
        <v>541</v>
      </c>
      <c r="B20" s="264">
        <f t="shared" si="0"/>
        <v>1098224279398</v>
      </c>
      <c r="C20" s="264">
        <f>SUM(C21:C22)</f>
        <v>876033500000</v>
      </c>
      <c r="D20" s="264">
        <f>SUM(D21:D22)</f>
        <v>222190779398</v>
      </c>
      <c r="E20" s="265" t="s">
        <v>588</v>
      </c>
      <c r="F20" s="264">
        <f t="shared" si="1"/>
        <v>9328866497</v>
      </c>
      <c r="G20" s="264">
        <v>9328866497</v>
      </c>
      <c r="H20" s="264">
        <v>0</v>
      </c>
    </row>
    <row r="21" spans="1:8" ht="42" customHeight="1">
      <c r="A21" s="256" t="s">
        <v>392</v>
      </c>
      <c r="B21" s="270">
        <f t="shared" si="0"/>
        <v>527976500000</v>
      </c>
      <c r="C21" s="271">
        <f>'[7]61-THU'!J123</f>
        <v>449180500000</v>
      </c>
      <c r="D21" s="271">
        <f>'[7]61-THU'!K123</f>
        <v>78796000000</v>
      </c>
      <c r="E21" s="272"/>
      <c r="F21" s="271">
        <v>0</v>
      </c>
      <c r="G21" s="271">
        <v>0</v>
      </c>
      <c r="H21" s="271">
        <v>0</v>
      </c>
    </row>
    <row r="22" spans="1:8" ht="42" customHeight="1">
      <c r="A22" s="256" t="s">
        <v>393</v>
      </c>
      <c r="B22" s="270">
        <f t="shared" si="0"/>
        <v>570247779398</v>
      </c>
      <c r="C22" s="271">
        <f>'[7]61-THU'!J125</f>
        <v>426853000000</v>
      </c>
      <c r="D22" s="271">
        <f>'[7]61-THU'!K125</f>
        <v>143394779398</v>
      </c>
      <c r="E22" s="272"/>
      <c r="F22" s="271">
        <v>0</v>
      </c>
      <c r="G22" s="271">
        <v>0</v>
      </c>
      <c r="H22" s="271">
        <v>0</v>
      </c>
    </row>
    <row r="23" spans="1:8" ht="52.5" customHeight="1">
      <c r="A23" s="257" t="s">
        <v>589</v>
      </c>
      <c r="B23" s="273">
        <v>0</v>
      </c>
      <c r="C23" s="273">
        <v>0</v>
      </c>
      <c r="D23" s="273">
        <v>0</v>
      </c>
      <c r="E23" s="274" t="s">
        <v>590</v>
      </c>
      <c r="F23" s="273">
        <v>0</v>
      </c>
      <c r="G23" s="273">
        <v>0</v>
      </c>
      <c r="H23" s="273">
        <v>0</v>
      </c>
    </row>
    <row r="24" spans="1:8" ht="46.5" customHeight="1">
      <c r="A24" s="77" t="s">
        <v>394</v>
      </c>
      <c r="B24" s="262">
        <f>B11-F11</f>
        <v>126985837510</v>
      </c>
      <c r="C24" s="262">
        <f>C11-G11</f>
        <v>119750109653</v>
      </c>
      <c r="D24" s="262">
        <f>D11-H11</f>
        <v>7235727857</v>
      </c>
      <c r="E24" s="275"/>
      <c r="F24" s="268"/>
      <c r="G24" s="268"/>
      <c r="H24" s="268"/>
    </row>
  </sheetData>
  <sheetProtection/>
  <mergeCells count="13">
    <mergeCell ref="F8:F9"/>
    <mergeCell ref="G8:G9"/>
    <mergeCell ref="H8:H9"/>
    <mergeCell ref="E1:H2"/>
    <mergeCell ref="A3:H4"/>
    <mergeCell ref="A8:A9"/>
    <mergeCell ref="B8:B9"/>
    <mergeCell ref="C8:C9"/>
    <mergeCell ref="D8:D9"/>
    <mergeCell ref="E8:E9"/>
    <mergeCell ref="A5:H5"/>
    <mergeCell ref="A6:H6"/>
    <mergeCell ref="G7:H7"/>
  </mergeCells>
  <printOptions/>
  <pageMargins left="0.5905511811023623" right="0.3937007874015748" top="0.5905511811023623" bottom="0.5905511811023623" header="0.31496062992125984" footer="0.31496062992125984"/>
  <pageSetup horizontalDpi="600" verticalDpi="600" orientation="landscape" paperSize="9" r:id="rId1"/>
  <headerFooter>
    <oddHeader>&amp;CPage &amp;P</oddHeader>
  </headerFooter>
</worksheet>
</file>

<file path=xl/worksheets/sheet9.xml><?xml version="1.0" encoding="utf-8"?>
<worksheet xmlns="http://schemas.openxmlformats.org/spreadsheetml/2006/main" xmlns:r="http://schemas.openxmlformats.org/officeDocument/2006/relationships">
  <sheetPr>
    <tabColor rgb="FF00B0F0"/>
  </sheetPr>
  <dimension ref="A1:EM130"/>
  <sheetViews>
    <sheetView zoomScalePageLayoutView="0" workbookViewId="0" topLeftCell="A1">
      <selection activeCell="A5" sqref="A5:M5"/>
    </sheetView>
  </sheetViews>
  <sheetFormatPr defaultColWidth="8.8515625" defaultRowHeight="12.75" outlineLevelRow="1"/>
  <cols>
    <col min="1" max="1" width="6.140625" style="317" customWidth="1"/>
    <col min="2" max="2" width="38.57421875" style="317" customWidth="1"/>
    <col min="3" max="3" width="19.57421875" style="317" hidden="1" customWidth="1"/>
    <col min="4" max="5" width="14.57421875" style="317" customWidth="1"/>
    <col min="6" max="6" width="14.57421875" style="318" customWidth="1"/>
    <col min="7" max="7" width="13.140625" style="318" customWidth="1"/>
    <col min="8" max="8" width="13.57421875" style="318" customWidth="1"/>
    <col min="9" max="9" width="12.00390625" style="318" customWidth="1"/>
    <col min="10" max="10" width="14.57421875" style="318" customWidth="1"/>
    <col min="11" max="11" width="12.8515625" style="318" customWidth="1"/>
    <col min="12" max="12" width="10.7109375" style="317" customWidth="1"/>
    <col min="13" max="13" width="12.28125" style="317" customWidth="1"/>
    <col min="14" max="16384" width="8.8515625" style="317" customWidth="1"/>
  </cols>
  <sheetData>
    <row r="1" spans="1:143" s="281" customFormat="1" ht="16.5" customHeight="1" outlineLevel="1">
      <c r="A1" s="494" t="s">
        <v>534</v>
      </c>
      <c r="B1" s="494"/>
      <c r="C1" s="276"/>
      <c r="D1" s="276"/>
      <c r="E1" s="277"/>
      <c r="F1" s="278"/>
      <c r="G1" s="278"/>
      <c r="H1" s="278"/>
      <c r="I1" s="279"/>
      <c r="J1" s="279"/>
      <c r="K1" s="495" t="s">
        <v>599</v>
      </c>
      <c r="L1" s="495"/>
      <c r="M1" s="495"/>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c r="DM1" s="280"/>
      <c r="DN1" s="280"/>
      <c r="DO1" s="280"/>
      <c r="DP1" s="280"/>
      <c r="DQ1" s="280"/>
      <c r="DR1" s="280"/>
      <c r="DS1" s="280"/>
      <c r="DT1" s="280"/>
      <c r="DU1" s="280"/>
      <c r="DV1" s="280"/>
      <c r="DW1" s="280"/>
      <c r="DX1" s="280"/>
      <c r="DY1" s="280"/>
      <c r="DZ1" s="280"/>
      <c r="EA1" s="280"/>
      <c r="EB1" s="280"/>
      <c r="EC1" s="280"/>
      <c r="ED1" s="280"/>
      <c r="EE1" s="280"/>
      <c r="EF1" s="280"/>
      <c r="EG1" s="280"/>
      <c r="EH1" s="280"/>
      <c r="EI1" s="280"/>
      <c r="EJ1" s="280"/>
      <c r="EK1" s="280"/>
      <c r="EL1" s="280"/>
      <c r="EM1" s="280"/>
    </row>
    <row r="2" spans="1:143" s="281" customFormat="1" ht="16.5" customHeight="1" outlineLevel="1">
      <c r="A2" s="494" t="s">
        <v>489</v>
      </c>
      <c r="B2" s="494"/>
      <c r="C2" s="276"/>
      <c r="D2" s="276"/>
      <c r="E2" s="277"/>
      <c r="F2" s="278"/>
      <c r="G2" s="278"/>
      <c r="H2" s="278"/>
      <c r="I2" s="279"/>
      <c r="J2" s="279"/>
      <c r="K2" s="282"/>
      <c r="L2" s="282"/>
      <c r="M2" s="282"/>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c r="DM2" s="280"/>
      <c r="DN2" s="280"/>
      <c r="DO2" s="280"/>
      <c r="DP2" s="280"/>
      <c r="DQ2" s="280"/>
      <c r="DR2" s="280"/>
      <c r="DS2" s="280"/>
      <c r="DT2" s="280"/>
      <c r="DU2" s="280"/>
      <c r="DV2" s="280"/>
      <c r="DW2" s="280"/>
      <c r="DX2" s="280"/>
      <c r="DY2" s="280"/>
      <c r="DZ2" s="280"/>
      <c r="EA2" s="280"/>
      <c r="EB2" s="280"/>
      <c r="EC2" s="280"/>
      <c r="ED2" s="280"/>
      <c r="EE2" s="280"/>
      <c r="EF2" s="280"/>
      <c r="EG2" s="280"/>
      <c r="EH2" s="280"/>
      <c r="EI2" s="280"/>
      <c r="EJ2" s="280"/>
      <c r="EK2" s="280"/>
      <c r="EL2" s="280"/>
      <c r="EM2" s="280"/>
    </row>
    <row r="3" spans="1:143" s="281" customFormat="1" ht="30" customHeight="1" outlineLevel="1">
      <c r="A3" s="501" t="s">
        <v>600</v>
      </c>
      <c r="B3" s="501"/>
      <c r="C3" s="501"/>
      <c r="D3" s="501"/>
      <c r="E3" s="501"/>
      <c r="F3" s="501"/>
      <c r="G3" s="501"/>
      <c r="H3" s="501"/>
      <c r="I3" s="501"/>
      <c r="J3" s="501"/>
      <c r="K3" s="501"/>
      <c r="L3" s="501"/>
      <c r="M3" s="501"/>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DI3" s="280"/>
      <c r="DJ3" s="280"/>
      <c r="DK3" s="280"/>
      <c r="DL3" s="280"/>
      <c r="DM3" s="280"/>
      <c r="DN3" s="280"/>
      <c r="DO3" s="280"/>
      <c r="DP3" s="280"/>
      <c r="DQ3" s="280"/>
      <c r="DR3" s="280"/>
      <c r="DS3" s="280"/>
      <c r="DT3" s="280"/>
      <c r="DU3" s="280"/>
      <c r="DV3" s="280"/>
      <c r="DW3" s="280"/>
      <c r="DX3" s="280"/>
      <c r="DY3" s="280"/>
      <c r="DZ3" s="280"/>
      <c r="EA3" s="280"/>
      <c r="EB3" s="280"/>
      <c r="EC3" s="280"/>
      <c r="ED3" s="280"/>
      <c r="EE3" s="280"/>
      <c r="EF3" s="280"/>
      <c r="EG3" s="280"/>
      <c r="EH3" s="280"/>
      <c r="EI3" s="280"/>
      <c r="EJ3" s="280"/>
      <c r="EK3" s="280"/>
      <c r="EL3" s="280"/>
      <c r="EM3" s="280"/>
    </row>
    <row r="4" spans="1:143" s="281" customFormat="1" ht="21.75" customHeight="1" outlineLevel="1">
      <c r="A4" s="456" t="s">
        <v>36</v>
      </c>
      <c r="B4" s="456"/>
      <c r="C4" s="456"/>
      <c r="D4" s="456"/>
      <c r="E4" s="456"/>
      <c r="F4" s="456"/>
      <c r="G4" s="456"/>
      <c r="H4" s="456"/>
      <c r="I4" s="456"/>
      <c r="J4" s="456"/>
      <c r="K4" s="456"/>
      <c r="L4" s="456"/>
      <c r="M4" s="456"/>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c r="DM4" s="280"/>
      <c r="DN4" s="280"/>
      <c r="DO4" s="280"/>
      <c r="DP4" s="280"/>
      <c r="DQ4" s="280"/>
      <c r="DR4" s="280"/>
      <c r="DS4" s="280"/>
      <c r="DT4" s="280"/>
      <c r="DU4" s="280"/>
      <c r="DV4" s="280"/>
      <c r="DW4" s="280"/>
      <c r="DX4" s="280"/>
      <c r="DY4" s="280"/>
      <c r="DZ4" s="280"/>
      <c r="EA4" s="280"/>
      <c r="EB4" s="280"/>
      <c r="EC4" s="280"/>
      <c r="ED4" s="280"/>
      <c r="EE4" s="280"/>
      <c r="EF4" s="280"/>
      <c r="EG4" s="280"/>
      <c r="EH4" s="280"/>
      <c r="EI4" s="280"/>
      <c r="EJ4" s="280"/>
      <c r="EK4" s="280"/>
      <c r="EL4" s="280"/>
      <c r="EM4" s="280"/>
    </row>
    <row r="5" spans="1:143" s="281" customFormat="1" ht="21.75" customHeight="1" outlineLevel="1">
      <c r="A5" s="442" t="s">
        <v>605</v>
      </c>
      <c r="B5" s="442"/>
      <c r="C5" s="442"/>
      <c r="D5" s="442"/>
      <c r="E5" s="442"/>
      <c r="F5" s="442"/>
      <c r="G5" s="442"/>
      <c r="H5" s="442"/>
      <c r="I5" s="442"/>
      <c r="J5" s="442"/>
      <c r="K5" s="442"/>
      <c r="L5" s="442"/>
      <c r="M5" s="442"/>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c r="DM5" s="280"/>
      <c r="DN5" s="280"/>
      <c r="DO5" s="280"/>
      <c r="DP5" s="280"/>
      <c r="DQ5" s="280"/>
      <c r="DR5" s="280"/>
      <c r="DS5" s="280"/>
      <c r="DT5" s="280"/>
      <c r="DU5" s="280"/>
      <c r="DV5" s="280"/>
      <c r="DW5" s="280"/>
      <c r="DX5" s="280"/>
      <c r="DY5" s="280"/>
      <c r="DZ5" s="280"/>
      <c r="EA5" s="280"/>
      <c r="EB5" s="280"/>
      <c r="EC5" s="280"/>
      <c r="ED5" s="280"/>
      <c r="EE5" s="280"/>
      <c r="EF5" s="280"/>
      <c r="EG5" s="280"/>
      <c r="EH5" s="280"/>
      <c r="EI5" s="280"/>
      <c r="EJ5" s="280"/>
      <c r="EK5" s="280"/>
      <c r="EL5" s="280"/>
      <c r="EM5" s="280"/>
    </row>
    <row r="6" spans="1:13" s="281" customFormat="1" ht="15.75" customHeight="1" outlineLevel="1">
      <c r="A6" s="283"/>
      <c r="D6" s="284"/>
      <c r="E6" s="284"/>
      <c r="F6" s="78"/>
      <c r="G6" s="79"/>
      <c r="H6" s="285"/>
      <c r="I6" s="80"/>
      <c r="J6" s="80"/>
      <c r="L6" s="286" t="s">
        <v>554</v>
      </c>
      <c r="M6" s="286"/>
    </row>
    <row r="7" spans="1:13" s="288" customFormat="1" ht="30" customHeight="1">
      <c r="A7" s="496" t="s">
        <v>0</v>
      </c>
      <c r="B7" s="496" t="s">
        <v>1</v>
      </c>
      <c r="C7" s="496" t="s">
        <v>396</v>
      </c>
      <c r="D7" s="499" t="s">
        <v>592</v>
      </c>
      <c r="E7" s="500"/>
      <c r="F7" s="496" t="s">
        <v>593</v>
      </c>
      <c r="G7" s="502" t="s">
        <v>397</v>
      </c>
      <c r="H7" s="502"/>
      <c r="I7" s="502"/>
      <c r="J7" s="502"/>
      <c r="K7" s="502"/>
      <c r="L7" s="493" t="s">
        <v>23</v>
      </c>
      <c r="M7" s="493"/>
    </row>
    <row r="8" spans="1:13" s="289" customFormat="1" ht="22.5" customHeight="1">
      <c r="A8" s="497"/>
      <c r="B8" s="497"/>
      <c r="C8" s="497"/>
      <c r="D8" s="493" t="s">
        <v>398</v>
      </c>
      <c r="E8" s="493" t="s">
        <v>399</v>
      </c>
      <c r="F8" s="497"/>
      <c r="G8" s="502" t="s">
        <v>400</v>
      </c>
      <c r="H8" s="502" t="s">
        <v>401</v>
      </c>
      <c r="I8" s="502" t="s">
        <v>402</v>
      </c>
      <c r="J8" s="502"/>
      <c r="K8" s="502"/>
      <c r="L8" s="493" t="s">
        <v>403</v>
      </c>
      <c r="M8" s="493" t="s">
        <v>404</v>
      </c>
    </row>
    <row r="9" spans="1:13" s="289" customFormat="1" ht="30" customHeight="1">
      <c r="A9" s="498"/>
      <c r="B9" s="498"/>
      <c r="C9" s="498"/>
      <c r="D9" s="493"/>
      <c r="E9" s="493"/>
      <c r="F9" s="498"/>
      <c r="G9" s="502"/>
      <c r="H9" s="502"/>
      <c r="I9" s="287" t="s">
        <v>405</v>
      </c>
      <c r="J9" s="287" t="s">
        <v>542</v>
      </c>
      <c r="K9" s="287" t="s">
        <v>406</v>
      </c>
      <c r="L9" s="493"/>
      <c r="M9" s="493"/>
    </row>
    <row r="10" spans="1:13" s="283" customFormat="1" ht="21" customHeight="1">
      <c r="A10" s="290" t="s">
        <v>9</v>
      </c>
      <c r="B10" s="291" t="s">
        <v>20</v>
      </c>
      <c r="C10" s="291"/>
      <c r="D10" s="292">
        <v>1</v>
      </c>
      <c r="E10" s="292">
        <v>2</v>
      </c>
      <c r="F10" s="290">
        <v>3</v>
      </c>
      <c r="G10" s="290">
        <v>4</v>
      </c>
      <c r="H10" s="290" t="s">
        <v>407</v>
      </c>
      <c r="I10" s="290">
        <v>6</v>
      </c>
      <c r="J10" s="290">
        <v>7</v>
      </c>
      <c r="K10" s="290">
        <v>8</v>
      </c>
      <c r="L10" s="290" t="s">
        <v>408</v>
      </c>
      <c r="M10" s="290" t="s">
        <v>409</v>
      </c>
    </row>
    <row r="11" spans="1:13" s="288" customFormat="1" ht="42" customHeight="1">
      <c r="A11" s="293"/>
      <c r="B11" s="294" t="s">
        <v>410</v>
      </c>
      <c r="C11" s="81">
        <f aca="true" t="shared" si="0" ref="C11:K11">+SUM(C13,C118,C121,C129,C130)</f>
        <v>1106414621800</v>
      </c>
      <c r="D11" s="381">
        <f t="shared" si="0"/>
        <v>1217713500000</v>
      </c>
      <c r="E11" s="381">
        <f t="shared" si="0"/>
        <v>1556010699701</v>
      </c>
      <c r="F11" s="382">
        <f t="shared" si="0"/>
        <v>1802912533916</v>
      </c>
      <c r="G11" s="383">
        <f t="shared" si="0"/>
        <v>121917381593</v>
      </c>
      <c r="H11" s="383">
        <f t="shared" si="0"/>
        <v>1680995152323</v>
      </c>
      <c r="I11" s="383">
        <f t="shared" si="0"/>
        <v>70128547222</v>
      </c>
      <c r="J11" s="383">
        <f t="shared" si="0"/>
        <v>1338446234688</v>
      </c>
      <c r="K11" s="383">
        <f t="shared" si="0"/>
        <v>272420370413</v>
      </c>
      <c r="L11" s="82">
        <f>(F11/D11)*100%</f>
        <v>1.4805720178974775</v>
      </c>
      <c r="M11" s="82">
        <f>(F11/E11)*100%</f>
        <v>1.1586761802232106</v>
      </c>
    </row>
    <row r="12" spans="1:13" s="288" customFormat="1" ht="42" customHeight="1">
      <c r="A12" s="293"/>
      <c r="B12" s="294" t="s">
        <v>411</v>
      </c>
      <c r="C12" s="81">
        <f aca="true" t="shared" si="1" ref="C12:K12">+C11+C106</f>
        <v>1106414621800</v>
      </c>
      <c r="D12" s="381">
        <f t="shared" si="1"/>
        <v>1217713500000</v>
      </c>
      <c r="E12" s="381">
        <f t="shared" si="1"/>
        <v>1556010699701</v>
      </c>
      <c r="F12" s="382">
        <f t="shared" si="1"/>
        <v>1802912533916</v>
      </c>
      <c r="G12" s="383">
        <f t="shared" si="1"/>
        <v>121917381593</v>
      </c>
      <c r="H12" s="383">
        <f t="shared" si="1"/>
        <v>1680995152323</v>
      </c>
      <c r="I12" s="383">
        <f t="shared" si="1"/>
        <v>70128547222</v>
      </c>
      <c r="J12" s="383">
        <f t="shared" si="1"/>
        <v>1338446234688</v>
      </c>
      <c r="K12" s="383">
        <f t="shared" si="1"/>
        <v>272420370413</v>
      </c>
      <c r="L12" s="82">
        <f>(F12/D12)*100%</f>
        <v>1.4805720178974775</v>
      </c>
      <c r="M12" s="82">
        <f>(F12/E12)*100%</f>
        <v>1.1586761802232106</v>
      </c>
    </row>
    <row r="13" spans="1:13" s="288" customFormat="1" ht="25.5" customHeight="1">
      <c r="A13" s="293" t="s">
        <v>9</v>
      </c>
      <c r="B13" s="294" t="s">
        <v>412</v>
      </c>
      <c r="C13" s="81">
        <f>SUM(C15,C97,C107,C108,C111)</f>
        <v>303675008849</v>
      </c>
      <c r="D13" s="381">
        <f>SUM(D15,D97,D107,D108,D111)</f>
        <v>341680000000</v>
      </c>
      <c r="E13" s="381">
        <f>SUM(E15,E97,E107,E108,E111)</f>
        <v>414974000000</v>
      </c>
      <c r="F13" s="382">
        <f aca="true" t="shared" si="2" ref="F13:K13">SUM(F15,F97,F107,F108,F111,F117)</f>
        <v>430356188320</v>
      </c>
      <c r="G13" s="382">
        <f t="shared" si="2"/>
        <v>121917381593</v>
      </c>
      <c r="H13" s="382">
        <f t="shared" si="2"/>
        <v>308438806727</v>
      </c>
      <c r="I13" s="382">
        <f t="shared" si="2"/>
        <v>60799680725</v>
      </c>
      <c r="J13" s="382">
        <f t="shared" si="2"/>
        <v>225934689328</v>
      </c>
      <c r="K13" s="382">
        <f t="shared" si="2"/>
        <v>21704436674</v>
      </c>
      <c r="L13" s="82">
        <f>(F13/D13)*100%</f>
        <v>1.2595299353781315</v>
      </c>
      <c r="M13" s="82">
        <f>(F13/E13)*100%</f>
        <v>1.0370678363463735</v>
      </c>
    </row>
    <row r="14" spans="1:13" s="288" customFormat="1" ht="42" customHeight="1">
      <c r="A14" s="293"/>
      <c r="B14" s="294" t="s">
        <v>413</v>
      </c>
      <c r="C14" s="81">
        <f aca="true" t="shared" si="3" ref="C14:K14">+C13+C106</f>
        <v>303675008849</v>
      </c>
      <c r="D14" s="381">
        <f t="shared" si="3"/>
        <v>341680000000</v>
      </c>
      <c r="E14" s="381">
        <f t="shared" si="3"/>
        <v>414974000000</v>
      </c>
      <c r="F14" s="382">
        <f t="shared" si="3"/>
        <v>430356188320</v>
      </c>
      <c r="G14" s="383">
        <f t="shared" si="3"/>
        <v>121917381593</v>
      </c>
      <c r="H14" s="383">
        <f t="shared" si="3"/>
        <v>308438806727</v>
      </c>
      <c r="I14" s="383">
        <f t="shared" si="3"/>
        <v>60799680725</v>
      </c>
      <c r="J14" s="383">
        <f t="shared" si="3"/>
        <v>225934689328</v>
      </c>
      <c r="K14" s="383">
        <f t="shared" si="3"/>
        <v>21704436674</v>
      </c>
      <c r="L14" s="82">
        <f>(F14/D14)*100%</f>
        <v>1.2595299353781315</v>
      </c>
      <c r="M14" s="82">
        <f>(F14/E14)*100%</f>
        <v>1.0370678363463735</v>
      </c>
    </row>
    <row r="15" spans="1:13" s="288" customFormat="1" ht="27.75" customHeight="1">
      <c r="A15" s="293" t="s">
        <v>10</v>
      </c>
      <c r="B15" s="295" t="s">
        <v>80</v>
      </c>
      <c r="C15" s="81">
        <f>SUM(C16,C29,C35,C53:C58,C63,C64,C66:C70,C77,C89:C90)</f>
        <v>299309723444</v>
      </c>
      <c r="D15" s="381">
        <f>SUM(D16,D29,D35,D53:D58,D63,D64,D66:D70,D77,D89:D90)</f>
        <v>341680000000</v>
      </c>
      <c r="E15" s="381">
        <f>SUM(E16,E29,E35,E53:E58,E63,E64,E66:E70,E77,E89:E90)</f>
        <v>380180000000</v>
      </c>
      <c r="F15" s="382">
        <f aca="true" t="shared" si="4" ref="F15:K15">SUM(F16,F29,F35,F53:F58,F63,F64,F66:F67,F70,F77,F89:F90)</f>
        <v>427449724111</v>
      </c>
      <c r="G15" s="383">
        <f t="shared" si="4"/>
        <v>121917381593</v>
      </c>
      <c r="H15" s="383">
        <f t="shared" si="4"/>
        <v>305532342518</v>
      </c>
      <c r="I15" s="383">
        <f t="shared" si="4"/>
        <v>60799680725</v>
      </c>
      <c r="J15" s="383">
        <f t="shared" si="4"/>
        <v>225934689328</v>
      </c>
      <c r="K15" s="383">
        <f t="shared" si="4"/>
        <v>18797972465</v>
      </c>
      <c r="L15" s="82">
        <f>(F15/D15)*100%</f>
        <v>1.2510235428207679</v>
      </c>
      <c r="M15" s="82">
        <f>(F15/E15)*100%</f>
        <v>1.1243351152375192</v>
      </c>
    </row>
    <row r="16" spans="1:13" s="288" customFormat="1" ht="27.75" customHeight="1">
      <c r="A16" s="293">
        <v>1</v>
      </c>
      <c r="B16" s="295" t="s">
        <v>414</v>
      </c>
      <c r="C16" s="81">
        <f>+C17+C23</f>
        <v>2140149563</v>
      </c>
      <c r="D16" s="381">
        <f aca="true" t="shared" si="5" ref="D16:K16">+D17+D23</f>
        <v>0</v>
      </c>
      <c r="E16" s="381">
        <f t="shared" si="5"/>
        <v>0</v>
      </c>
      <c r="F16" s="382">
        <f t="shared" si="5"/>
        <v>4158241749</v>
      </c>
      <c r="G16" s="383">
        <f t="shared" si="5"/>
        <v>2190687792</v>
      </c>
      <c r="H16" s="383">
        <f t="shared" si="5"/>
        <v>1967553957</v>
      </c>
      <c r="I16" s="383">
        <f t="shared" si="5"/>
        <v>1967553957</v>
      </c>
      <c r="J16" s="383">
        <f t="shared" si="5"/>
        <v>0</v>
      </c>
      <c r="K16" s="383">
        <f t="shared" si="5"/>
        <v>0</v>
      </c>
      <c r="L16" s="82"/>
      <c r="M16" s="82"/>
    </row>
    <row r="17" spans="1:13" s="288" customFormat="1" ht="42" customHeight="1">
      <c r="A17" s="293" t="s">
        <v>30</v>
      </c>
      <c r="B17" s="295" t="s">
        <v>415</v>
      </c>
      <c r="C17" s="81">
        <f>SUM(C18:C22)</f>
        <v>262958815</v>
      </c>
      <c r="D17" s="381">
        <f aca="true" t="shared" si="6" ref="D17:K17">SUM(D18:D21)</f>
        <v>0</v>
      </c>
      <c r="E17" s="381">
        <f t="shared" si="6"/>
        <v>0</v>
      </c>
      <c r="F17" s="382">
        <f t="shared" si="6"/>
        <v>454433343</v>
      </c>
      <c r="G17" s="383">
        <f t="shared" si="6"/>
        <v>240849666</v>
      </c>
      <c r="H17" s="383">
        <f t="shared" si="6"/>
        <v>213583677</v>
      </c>
      <c r="I17" s="383">
        <f t="shared" si="6"/>
        <v>213583677</v>
      </c>
      <c r="J17" s="383">
        <f t="shared" si="6"/>
        <v>0</v>
      </c>
      <c r="K17" s="383">
        <f t="shared" si="6"/>
        <v>0</v>
      </c>
      <c r="L17" s="82"/>
      <c r="M17" s="82"/>
    </row>
    <row r="18" spans="1:13" s="281" customFormat="1" ht="42" customHeight="1">
      <c r="A18" s="296" t="s">
        <v>31</v>
      </c>
      <c r="B18" s="297" t="s">
        <v>299</v>
      </c>
      <c r="C18" s="298">
        <v>255590287</v>
      </c>
      <c r="D18" s="384"/>
      <c r="E18" s="384"/>
      <c r="F18" s="385">
        <f>+G18+H18</f>
        <v>451082468</v>
      </c>
      <c r="G18" s="386">
        <v>239073703</v>
      </c>
      <c r="H18" s="386">
        <f>+I18+J18+K18</f>
        <v>212008765</v>
      </c>
      <c r="I18" s="386">
        <v>212008765</v>
      </c>
      <c r="J18" s="386">
        <v>0</v>
      </c>
      <c r="K18" s="386">
        <v>0</v>
      </c>
      <c r="L18" s="299"/>
      <c r="M18" s="299"/>
    </row>
    <row r="19" spans="1:13" s="281" customFormat="1" ht="42" customHeight="1">
      <c r="A19" s="296" t="s">
        <v>31</v>
      </c>
      <c r="B19" s="297" t="s">
        <v>300</v>
      </c>
      <c r="C19" s="300"/>
      <c r="D19" s="384"/>
      <c r="E19" s="384"/>
      <c r="F19" s="385">
        <f>+G19+H19</f>
        <v>0</v>
      </c>
      <c r="G19" s="386">
        <v>0</v>
      </c>
      <c r="H19" s="386">
        <f>+I19+J19+K19</f>
        <v>0</v>
      </c>
      <c r="I19" s="386">
        <v>0</v>
      </c>
      <c r="J19" s="386">
        <v>0</v>
      </c>
      <c r="K19" s="386">
        <v>0</v>
      </c>
      <c r="L19" s="299"/>
      <c r="M19" s="299"/>
    </row>
    <row r="20" spans="1:13" s="281" customFormat="1" ht="22.5" customHeight="1">
      <c r="A20" s="296" t="s">
        <v>31</v>
      </c>
      <c r="B20" s="297" t="s">
        <v>302</v>
      </c>
      <c r="C20" s="298">
        <v>2910560</v>
      </c>
      <c r="D20" s="384"/>
      <c r="E20" s="384"/>
      <c r="F20" s="385">
        <f>+G20+H20</f>
        <v>3350875</v>
      </c>
      <c r="G20" s="386">
        <v>1775963</v>
      </c>
      <c r="H20" s="386">
        <f>+I20+J20+K20</f>
        <v>1574912</v>
      </c>
      <c r="I20" s="386">
        <v>1574912</v>
      </c>
      <c r="J20" s="386">
        <v>0</v>
      </c>
      <c r="K20" s="386">
        <v>0</v>
      </c>
      <c r="L20" s="299"/>
      <c r="M20" s="299"/>
    </row>
    <row r="21" spans="1:13" s="281" customFormat="1" ht="22.5" customHeight="1">
      <c r="A21" s="296" t="s">
        <v>31</v>
      </c>
      <c r="B21" s="297" t="s">
        <v>301</v>
      </c>
      <c r="C21" s="298">
        <v>3457968</v>
      </c>
      <c r="D21" s="384"/>
      <c r="E21" s="384"/>
      <c r="F21" s="385">
        <f>+G21+H21</f>
        <v>0</v>
      </c>
      <c r="G21" s="386">
        <v>0</v>
      </c>
      <c r="H21" s="386">
        <f>+I21+J21+K21</f>
        <v>0</v>
      </c>
      <c r="I21" s="386"/>
      <c r="J21" s="386">
        <v>0</v>
      </c>
      <c r="K21" s="386">
        <v>0</v>
      </c>
      <c r="L21" s="299"/>
      <c r="M21" s="299"/>
    </row>
    <row r="22" spans="1:13" s="281" customFormat="1" ht="22.5" customHeight="1">
      <c r="A22" s="296"/>
      <c r="B22" s="301" t="s">
        <v>543</v>
      </c>
      <c r="C22" s="298">
        <v>1000000</v>
      </c>
      <c r="D22" s="384"/>
      <c r="E22" s="384"/>
      <c r="F22" s="385"/>
      <c r="G22" s="386"/>
      <c r="H22" s="386"/>
      <c r="I22" s="386"/>
      <c r="J22" s="386"/>
      <c r="K22" s="386"/>
      <c r="L22" s="299"/>
      <c r="M22" s="299"/>
    </row>
    <row r="23" spans="1:13" s="288" customFormat="1" ht="42" customHeight="1">
      <c r="A23" s="293" t="s">
        <v>218</v>
      </c>
      <c r="B23" s="295" t="s">
        <v>416</v>
      </c>
      <c r="C23" s="81">
        <f>SUM(C24:C28)</f>
        <v>1877190748</v>
      </c>
      <c r="D23" s="381">
        <f aca="true" t="shared" si="7" ref="D23:K23">SUM(D24:D27)</f>
        <v>0</v>
      </c>
      <c r="E23" s="381">
        <f t="shared" si="7"/>
        <v>0</v>
      </c>
      <c r="F23" s="382">
        <f t="shared" si="7"/>
        <v>3703808406</v>
      </c>
      <c r="G23" s="383">
        <f t="shared" si="7"/>
        <v>1949838126</v>
      </c>
      <c r="H23" s="383">
        <f t="shared" si="7"/>
        <v>1753970280</v>
      </c>
      <c r="I23" s="383">
        <f t="shared" si="7"/>
        <v>1753970280</v>
      </c>
      <c r="J23" s="383">
        <f t="shared" si="7"/>
        <v>0</v>
      </c>
      <c r="K23" s="383">
        <f t="shared" si="7"/>
        <v>0</v>
      </c>
      <c r="L23" s="82"/>
      <c r="M23" s="82"/>
    </row>
    <row r="24" spans="1:13" s="281" customFormat="1" ht="49.5" customHeight="1">
      <c r="A24" s="296" t="s">
        <v>31</v>
      </c>
      <c r="B24" s="297" t="s">
        <v>299</v>
      </c>
      <c r="C24" s="298">
        <v>883465632</v>
      </c>
      <c r="D24" s="384"/>
      <c r="E24" s="384"/>
      <c r="F24" s="385">
        <f>+G24+H24</f>
        <v>1236217171</v>
      </c>
      <c r="G24" s="386">
        <v>655195082</v>
      </c>
      <c r="H24" s="386">
        <f>+I24+J24+K24</f>
        <v>581022089</v>
      </c>
      <c r="I24" s="386">
        <v>581022089</v>
      </c>
      <c r="J24" s="386">
        <v>0</v>
      </c>
      <c r="K24" s="386">
        <v>0</v>
      </c>
      <c r="L24" s="299"/>
      <c r="M24" s="299"/>
    </row>
    <row r="25" spans="1:13" s="281" customFormat="1" ht="51.75" customHeight="1">
      <c r="A25" s="296" t="s">
        <v>31</v>
      </c>
      <c r="B25" s="297" t="s">
        <v>300</v>
      </c>
      <c r="C25" s="300"/>
      <c r="D25" s="384"/>
      <c r="E25" s="384"/>
      <c r="F25" s="385">
        <f>+G25+H25</f>
        <v>0</v>
      </c>
      <c r="G25" s="386"/>
      <c r="H25" s="386">
        <f>+I25+J25+K25</f>
        <v>0</v>
      </c>
      <c r="I25" s="386">
        <v>0</v>
      </c>
      <c r="J25" s="386">
        <v>0</v>
      </c>
      <c r="K25" s="386">
        <v>0</v>
      </c>
      <c r="L25" s="299"/>
      <c r="M25" s="299"/>
    </row>
    <row r="26" spans="1:13" s="281" customFormat="1" ht="22.5" customHeight="1">
      <c r="A26" s="296" t="s">
        <v>31</v>
      </c>
      <c r="B26" s="297" t="s">
        <v>302</v>
      </c>
      <c r="C26" s="298">
        <v>846539427</v>
      </c>
      <c r="D26" s="384"/>
      <c r="E26" s="384"/>
      <c r="F26" s="385">
        <f>+G26+H26</f>
        <v>2442722755</v>
      </c>
      <c r="G26" s="386">
        <v>1294643044</v>
      </c>
      <c r="H26" s="386">
        <f>+I26+J26+K26</f>
        <v>1148079711</v>
      </c>
      <c r="I26" s="386">
        <v>1148079711</v>
      </c>
      <c r="J26" s="386">
        <v>0</v>
      </c>
      <c r="K26" s="386">
        <v>0</v>
      </c>
      <c r="L26" s="299"/>
      <c r="M26" s="299"/>
    </row>
    <row r="27" spans="1:13" s="281" customFormat="1" ht="22.5" customHeight="1">
      <c r="A27" s="296" t="s">
        <v>31</v>
      </c>
      <c r="B27" s="297" t="s">
        <v>301</v>
      </c>
      <c r="C27" s="298">
        <v>145185689</v>
      </c>
      <c r="D27" s="384"/>
      <c r="E27" s="384"/>
      <c r="F27" s="385">
        <f>+G27+H27</f>
        <v>24868480</v>
      </c>
      <c r="G27" s="386">
        <v>0</v>
      </c>
      <c r="H27" s="386">
        <f>+I27+J27+K27</f>
        <v>24868480</v>
      </c>
      <c r="I27" s="386">
        <v>24868480</v>
      </c>
      <c r="J27" s="386"/>
      <c r="K27" s="386">
        <v>0</v>
      </c>
      <c r="L27" s="299"/>
      <c r="M27" s="299"/>
    </row>
    <row r="28" spans="1:13" s="281" customFormat="1" ht="22.5" customHeight="1">
      <c r="A28" s="296"/>
      <c r="B28" s="301" t="s">
        <v>543</v>
      </c>
      <c r="C28" s="298">
        <v>2000000</v>
      </c>
      <c r="D28" s="384"/>
      <c r="E28" s="384"/>
      <c r="F28" s="385"/>
      <c r="G28" s="386"/>
      <c r="H28" s="386"/>
      <c r="I28" s="386"/>
      <c r="J28" s="386"/>
      <c r="K28" s="386"/>
      <c r="L28" s="299"/>
      <c r="M28" s="299"/>
    </row>
    <row r="29" spans="1:13" s="288" customFormat="1" ht="42.75" customHeight="1">
      <c r="A29" s="293">
        <v>2</v>
      </c>
      <c r="B29" s="295" t="s">
        <v>417</v>
      </c>
      <c r="C29" s="81">
        <f>SUM(C30:C34)</f>
        <v>2715216594</v>
      </c>
      <c r="D29" s="381">
        <f aca="true" t="shared" si="8" ref="D29:K29">SUM(D30:D34)</f>
        <v>0</v>
      </c>
      <c r="E29" s="381">
        <f t="shared" si="8"/>
        <v>0</v>
      </c>
      <c r="F29" s="382">
        <f t="shared" si="8"/>
        <v>241497929</v>
      </c>
      <c r="G29" s="383">
        <f t="shared" si="8"/>
        <v>127993900</v>
      </c>
      <c r="H29" s="383">
        <f t="shared" si="8"/>
        <v>113504029</v>
      </c>
      <c r="I29" s="383">
        <f t="shared" si="8"/>
        <v>113504029</v>
      </c>
      <c r="J29" s="383">
        <f t="shared" si="8"/>
        <v>0</v>
      </c>
      <c r="K29" s="383">
        <f t="shared" si="8"/>
        <v>0</v>
      </c>
      <c r="L29" s="82"/>
      <c r="M29" s="82"/>
    </row>
    <row r="30" spans="1:13" s="281" customFormat="1" ht="48.75" customHeight="1">
      <c r="A30" s="296" t="s">
        <v>31</v>
      </c>
      <c r="B30" s="297" t="s">
        <v>299</v>
      </c>
      <c r="C30" s="298">
        <v>2709216594</v>
      </c>
      <c r="D30" s="384"/>
      <c r="E30" s="384"/>
      <c r="F30" s="385">
        <f>+G30+H30</f>
        <v>128644389</v>
      </c>
      <c r="G30" s="386">
        <v>68181525</v>
      </c>
      <c r="H30" s="386">
        <f>+I30+J30+K30</f>
        <v>60462864</v>
      </c>
      <c r="I30" s="386">
        <v>60462864</v>
      </c>
      <c r="J30" s="386">
        <v>0</v>
      </c>
      <c r="K30" s="386">
        <v>0</v>
      </c>
      <c r="L30" s="299"/>
      <c r="M30" s="299"/>
    </row>
    <row r="31" spans="1:13" s="281" customFormat="1" ht="54" customHeight="1">
      <c r="A31" s="296" t="s">
        <v>31</v>
      </c>
      <c r="B31" s="297" t="s">
        <v>300</v>
      </c>
      <c r="C31" s="300"/>
      <c r="D31" s="384"/>
      <c r="E31" s="384"/>
      <c r="F31" s="385">
        <f>+G31+H31</f>
        <v>0</v>
      </c>
      <c r="G31" s="386"/>
      <c r="H31" s="386">
        <f>+I31+J31+K31</f>
        <v>0</v>
      </c>
      <c r="I31" s="386"/>
      <c r="J31" s="386">
        <v>0</v>
      </c>
      <c r="K31" s="386">
        <v>0</v>
      </c>
      <c r="L31" s="299"/>
      <c r="M31" s="299"/>
    </row>
    <row r="32" spans="1:13" s="281" customFormat="1" ht="22.5" customHeight="1">
      <c r="A32" s="296" t="s">
        <v>31</v>
      </c>
      <c r="B32" s="297" t="s">
        <v>302</v>
      </c>
      <c r="C32" s="300"/>
      <c r="D32" s="384"/>
      <c r="E32" s="384"/>
      <c r="F32" s="385">
        <f>+G32+H32</f>
        <v>112853540</v>
      </c>
      <c r="G32" s="386">
        <v>59812375</v>
      </c>
      <c r="H32" s="386">
        <f>+I32+J32+K32</f>
        <v>53041165</v>
      </c>
      <c r="I32" s="386">
        <v>53041165</v>
      </c>
      <c r="J32" s="386"/>
      <c r="K32" s="386">
        <v>0</v>
      </c>
      <c r="L32" s="299"/>
      <c r="M32" s="299"/>
    </row>
    <row r="33" spans="1:13" s="281" customFormat="1" ht="22.5" customHeight="1">
      <c r="A33" s="296" t="s">
        <v>31</v>
      </c>
      <c r="B33" s="297" t="s">
        <v>301</v>
      </c>
      <c r="C33" s="300"/>
      <c r="D33" s="384"/>
      <c r="E33" s="384"/>
      <c r="F33" s="385">
        <f>+G33+H33</f>
        <v>0</v>
      </c>
      <c r="G33" s="386">
        <v>0</v>
      </c>
      <c r="H33" s="386">
        <f>+I33+J33+K33</f>
        <v>0</v>
      </c>
      <c r="I33" s="386">
        <v>0</v>
      </c>
      <c r="J33" s="386">
        <v>0</v>
      </c>
      <c r="K33" s="386">
        <v>0</v>
      </c>
      <c r="L33" s="299"/>
      <c r="M33" s="299"/>
    </row>
    <row r="34" spans="1:13" s="281" customFormat="1" ht="22.5" customHeight="1">
      <c r="A34" s="296" t="s">
        <v>31</v>
      </c>
      <c r="B34" s="301" t="s">
        <v>543</v>
      </c>
      <c r="C34" s="298">
        <v>6000000</v>
      </c>
      <c r="D34" s="384"/>
      <c r="E34" s="384"/>
      <c r="F34" s="385">
        <f>+G34+H34</f>
        <v>0</v>
      </c>
      <c r="G34" s="386"/>
      <c r="H34" s="386">
        <f>+I34+J34+K34</f>
        <v>0</v>
      </c>
      <c r="I34" s="386"/>
      <c r="J34" s="386"/>
      <c r="K34" s="386"/>
      <c r="L34" s="299"/>
      <c r="M34" s="299"/>
    </row>
    <row r="35" spans="1:13" s="288" customFormat="1" ht="42" customHeight="1">
      <c r="A35" s="293">
        <v>3</v>
      </c>
      <c r="B35" s="295" t="s">
        <v>418</v>
      </c>
      <c r="C35" s="81">
        <f aca="true" t="shared" si="9" ref="C35:K35">+C41+C48</f>
        <v>125056753038</v>
      </c>
      <c r="D35" s="381">
        <f t="shared" si="9"/>
        <v>124000000000</v>
      </c>
      <c r="E35" s="381">
        <f t="shared" si="9"/>
        <v>124000000000</v>
      </c>
      <c r="F35" s="382">
        <f t="shared" si="9"/>
        <v>125581474621</v>
      </c>
      <c r="G35" s="383">
        <f t="shared" si="9"/>
        <v>62690059165</v>
      </c>
      <c r="H35" s="383">
        <f t="shared" si="9"/>
        <v>62891415456</v>
      </c>
      <c r="I35" s="383">
        <f t="shared" si="9"/>
        <v>0</v>
      </c>
      <c r="J35" s="383">
        <f>+J41+J48</f>
        <v>62891415456</v>
      </c>
      <c r="K35" s="383">
        <f t="shared" si="9"/>
        <v>0</v>
      </c>
      <c r="L35" s="82">
        <f>(F35/D35)*100%</f>
        <v>1.0127538275887096</v>
      </c>
      <c r="M35" s="82">
        <f>(F35/E35)*100%</f>
        <v>1.0127538275887096</v>
      </c>
    </row>
    <row r="36" spans="1:13" s="281" customFormat="1" ht="50.25" customHeight="1">
      <c r="A36" s="296" t="s">
        <v>31</v>
      </c>
      <c r="B36" s="297" t="s">
        <v>299</v>
      </c>
      <c r="C36" s="300"/>
      <c r="D36" s="386">
        <f>D42+D49</f>
        <v>98000000000</v>
      </c>
      <c r="E36" s="386">
        <f>E42+E49</f>
        <v>98000000000</v>
      </c>
      <c r="F36" s="385">
        <f>+G36+H36</f>
        <v>83392046602</v>
      </c>
      <c r="G36" s="386">
        <f>G42+G49</f>
        <v>44197783654</v>
      </c>
      <c r="H36" s="386">
        <f>SUM(I36:K36)</f>
        <v>39194262948</v>
      </c>
      <c r="I36" s="386">
        <f aca="true" t="shared" si="10" ref="I36:K39">I42+I49</f>
        <v>0</v>
      </c>
      <c r="J36" s="386">
        <f>J42+J49</f>
        <v>39194262948</v>
      </c>
      <c r="K36" s="386">
        <f t="shared" si="10"/>
        <v>0</v>
      </c>
      <c r="L36" s="82">
        <f>(F36/D36)*100%</f>
        <v>0.8509392510408164</v>
      </c>
      <c r="M36" s="82">
        <f>(F36/E36)*100%</f>
        <v>0.8509392510408164</v>
      </c>
    </row>
    <row r="37" spans="1:13" s="281" customFormat="1" ht="42" customHeight="1">
      <c r="A37" s="296" t="s">
        <v>31</v>
      </c>
      <c r="B37" s="297" t="s">
        <v>300</v>
      </c>
      <c r="C37" s="300"/>
      <c r="D37" s="386">
        <f aca="true" t="shared" si="11" ref="D37:E39">D43+D50</f>
        <v>1200000000</v>
      </c>
      <c r="E37" s="386">
        <f t="shared" si="11"/>
        <v>1200000000</v>
      </c>
      <c r="F37" s="385">
        <f>+G37+H37</f>
        <v>170804512</v>
      </c>
      <c r="G37" s="386">
        <f>G43+G50</f>
        <v>90526378</v>
      </c>
      <c r="H37" s="386">
        <f>SUM(I37:K37)</f>
        <v>80278134</v>
      </c>
      <c r="I37" s="386">
        <f t="shared" si="10"/>
        <v>0</v>
      </c>
      <c r="J37" s="386">
        <f>J43+J50</f>
        <v>80278134</v>
      </c>
      <c r="K37" s="386">
        <f t="shared" si="10"/>
        <v>0</v>
      </c>
      <c r="L37" s="82">
        <f>(F37/D37)*100%</f>
        <v>0.14233709333333333</v>
      </c>
      <c r="M37" s="82">
        <f>(F37/E37)*100%</f>
        <v>0.14233709333333333</v>
      </c>
    </row>
    <row r="38" spans="1:13" s="281" customFormat="1" ht="22.5" customHeight="1">
      <c r="A38" s="296" t="s">
        <v>31</v>
      </c>
      <c r="B38" s="297" t="s">
        <v>302</v>
      </c>
      <c r="C38" s="300"/>
      <c r="D38" s="386">
        <f t="shared" si="11"/>
        <v>20000000000</v>
      </c>
      <c r="E38" s="386">
        <f t="shared" si="11"/>
        <v>20000000000</v>
      </c>
      <c r="F38" s="385">
        <f>+G38+H38</f>
        <v>34720281954</v>
      </c>
      <c r="G38" s="386">
        <f>G44+G51</f>
        <v>18401749133</v>
      </c>
      <c r="H38" s="386">
        <f>SUM(I38:K38)</f>
        <v>16318532821</v>
      </c>
      <c r="I38" s="386">
        <f t="shared" si="10"/>
        <v>0</v>
      </c>
      <c r="J38" s="386">
        <f>J44+J51</f>
        <v>16318532821</v>
      </c>
      <c r="K38" s="386">
        <f t="shared" si="10"/>
        <v>0</v>
      </c>
      <c r="L38" s="82">
        <f>(F38/D38)*100%</f>
        <v>1.7360140977</v>
      </c>
      <c r="M38" s="82">
        <f>(F38/E38)*100%</f>
        <v>1.7360140977</v>
      </c>
    </row>
    <row r="39" spans="1:13" s="281" customFormat="1" ht="22.5" customHeight="1">
      <c r="A39" s="296" t="s">
        <v>31</v>
      </c>
      <c r="B39" s="297" t="s">
        <v>301</v>
      </c>
      <c r="C39" s="300"/>
      <c r="D39" s="386">
        <f t="shared" si="11"/>
        <v>4800000000</v>
      </c>
      <c r="E39" s="386">
        <f t="shared" si="11"/>
        <v>4800000000</v>
      </c>
      <c r="F39" s="385">
        <f>+G39+H39</f>
        <v>7298341553</v>
      </c>
      <c r="G39" s="386">
        <f>G45+G52</f>
        <v>0</v>
      </c>
      <c r="H39" s="386">
        <f>SUM(I39:K39)</f>
        <v>7298341553</v>
      </c>
      <c r="I39" s="386">
        <f t="shared" si="10"/>
        <v>0</v>
      </c>
      <c r="J39" s="386">
        <f>J45+J52</f>
        <v>7298341553</v>
      </c>
      <c r="K39" s="386">
        <f t="shared" si="10"/>
        <v>0</v>
      </c>
      <c r="L39" s="82">
        <f>(F39/D39)*100%</f>
        <v>1.5204878235416666</v>
      </c>
      <c r="M39" s="82">
        <f>(F39/E39)*100%</f>
        <v>1.5204878235416666</v>
      </c>
    </row>
    <row r="40" spans="1:13" s="288" customFormat="1" ht="22.5" customHeight="1">
      <c r="A40" s="293"/>
      <c r="B40" s="295" t="s">
        <v>513</v>
      </c>
      <c r="C40" s="302"/>
      <c r="D40" s="387"/>
      <c r="E40" s="387"/>
      <c r="F40" s="382"/>
      <c r="G40" s="383"/>
      <c r="H40" s="383"/>
      <c r="I40" s="383"/>
      <c r="J40" s="383"/>
      <c r="K40" s="383"/>
      <c r="L40" s="82"/>
      <c r="M40" s="82"/>
    </row>
    <row r="41" spans="1:13" s="288" customFormat="1" ht="42" customHeight="1">
      <c r="A41" s="293" t="s">
        <v>419</v>
      </c>
      <c r="B41" s="295" t="s">
        <v>420</v>
      </c>
      <c r="C41" s="81">
        <f>SUM(C42:C47)</f>
        <v>125056753038</v>
      </c>
      <c r="D41" s="381">
        <f aca="true" t="shared" si="12" ref="D41:K41">SUM(D42:D45)</f>
        <v>109000000000</v>
      </c>
      <c r="E41" s="381">
        <f>SUM(E42:E45)</f>
        <v>109000000000</v>
      </c>
      <c r="F41" s="382">
        <f t="shared" si="12"/>
        <v>94540471793</v>
      </c>
      <c r="G41" s="383">
        <f t="shared" si="12"/>
        <v>46508231372</v>
      </c>
      <c r="H41" s="383">
        <f t="shared" si="12"/>
        <v>48032240421</v>
      </c>
      <c r="I41" s="383">
        <f t="shared" si="12"/>
        <v>0</v>
      </c>
      <c r="J41" s="383">
        <f t="shared" si="12"/>
        <v>48032240421</v>
      </c>
      <c r="K41" s="383">
        <f t="shared" si="12"/>
        <v>0</v>
      </c>
      <c r="L41" s="82">
        <f>(F41/D41)*100%</f>
        <v>0.8673437779174312</v>
      </c>
      <c r="M41" s="82">
        <f>(F41/E41)*100%</f>
        <v>0.8673437779174312</v>
      </c>
    </row>
    <row r="42" spans="1:13" s="281" customFormat="1" ht="42" customHeight="1">
      <c r="A42" s="296" t="s">
        <v>31</v>
      </c>
      <c r="B42" s="297" t="s">
        <v>299</v>
      </c>
      <c r="C42" s="298">
        <v>91717953837</v>
      </c>
      <c r="D42" s="386">
        <v>83000000000</v>
      </c>
      <c r="E42" s="386">
        <f>D42</f>
        <v>83000000000</v>
      </c>
      <c r="F42" s="385">
        <f>+G42+H42</f>
        <v>72068199604</v>
      </c>
      <c r="G42" s="386">
        <f>44197783654-G49</f>
        <v>38466009642</v>
      </c>
      <c r="H42" s="386">
        <f>+I42+J42+K42</f>
        <v>33602189962</v>
      </c>
      <c r="I42" s="386">
        <v>0</v>
      </c>
      <c r="J42" s="386">
        <f>39194262948-J49</f>
        <v>33602189962</v>
      </c>
      <c r="K42" s="386">
        <v>0</v>
      </c>
      <c r="L42" s="82">
        <f>(F42/D42)*100%</f>
        <v>0.8682915614939759</v>
      </c>
      <c r="M42" s="82">
        <f>(F42/E42)*100%</f>
        <v>0.8682915614939759</v>
      </c>
    </row>
    <row r="43" spans="1:13" s="281" customFormat="1" ht="42" customHeight="1">
      <c r="A43" s="296" t="s">
        <v>31</v>
      </c>
      <c r="B43" s="297" t="s">
        <v>300</v>
      </c>
      <c r="C43" s="298">
        <v>28424991283</v>
      </c>
      <c r="D43" s="386">
        <v>1200000000</v>
      </c>
      <c r="E43" s="386">
        <f>D43</f>
        <v>1200000000</v>
      </c>
      <c r="F43" s="385">
        <f>+G43+H43</f>
        <v>170804512</v>
      </c>
      <c r="G43" s="386">
        <v>90526378</v>
      </c>
      <c r="H43" s="386">
        <f>+I43+J43+K43</f>
        <v>80278134</v>
      </c>
      <c r="I43" s="386">
        <v>0</v>
      </c>
      <c r="J43" s="386">
        <v>80278134</v>
      </c>
      <c r="K43" s="386">
        <v>0</v>
      </c>
      <c r="L43" s="82">
        <f>(F43/D43)*100%</f>
        <v>0.14233709333333333</v>
      </c>
      <c r="M43" s="82">
        <f>(F43/E43)*100%</f>
        <v>0.14233709333333333</v>
      </c>
    </row>
    <row r="44" spans="1:13" s="281" customFormat="1" ht="22.5" customHeight="1">
      <c r="A44" s="296" t="s">
        <v>31</v>
      </c>
      <c r="B44" s="297" t="s">
        <v>302</v>
      </c>
      <c r="C44" s="298">
        <v>845679796</v>
      </c>
      <c r="D44" s="386">
        <v>20000000000</v>
      </c>
      <c r="E44" s="386">
        <f>D44</f>
        <v>20000000000</v>
      </c>
      <c r="F44" s="385">
        <f>+G44+H44</f>
        <v>15003199324</v>
      </c>
      <c r="G44" s="386">
        <f>18401749133-G51</f>
        <v>7951695352</v>
      </c>
      <c r="H44" s="386">
        <f>+I44+J44+K44</f>
        <v>7051503972</v>
      </c>
      <c r="I44" s="386">
        <v>0</v>
      </c>
      <c r="J44" s="386">
        <f>16318532821-J51</f>
        <v>7051503972</v>
      </c>
      <c r="K44" s="386">
        <v>0</v>
      </c>
      <c r="L44" s="82">
        <f>(F44/D44)*100%</f>
        <v>0.7501599662</v>
      </c>
      <c r="M44" s="82">
        <f>(F44/E44)*100%</f>
        <v>0.7501599662</v>
      </c>
    </row>
    <row r="45" spans="1:13" s="281" customFormat="1" ht="22.5" customHeight="1">
      <c r="A45" s="296" t="s">
        <v>31</v>
      </c>
      <c r="B45" s="297" t="s">
        <v>301</v>
      </c>
      <c r="C45" s="298">
        <v>3387801542</v>
      </c>
      <c r="D45" s="386">
        <v>4800000000</v>
      </c>
      <c r="E45" s="386">
        <f>D45</f>
        <v>4800000000</v>
      </c>
      <c r="F45" s="385">
        <f>+G45+H45</f>
        <v>7298268353</v>
      </c>
      <c r="G45" s="386"/>
      <c r="H45" s="386">
        <f>+I45+J45+K45</f>
        <v>7298268353</v>
      </c>
      <c r="I45" s="386">
        <v>0</v>
      </c>
      <c r="J45" s="386">
        <f>7298341553-J52</f>
        <v>7298268353</v>
      </c>
      <c r="K45" s="386">
        <v>0</v>
      </c>
      <c r="L45" s="82">
        <f>(F45/D45)*100%</f>
        <v>1.5204725735416666</v>
      </c>
      <c r="M45" s="82">
        <f>(F45/E45)*100%</f>
        <v>1.5204725735416666</v>
      </c>
    </row>
    <row r="46" spans="1:13" s="281" customFormat="1" ht="22.5" customHeight="1">
      <c r="A46" s="296"/>
      <c r="B46" s="301" t="s">
        <v>543</v>
      </c>
      <c r="C46" s="298">
        <v>99727001</v>
      </c>
      <c r="D46" s="388"/>
      <c r="E46" s="388"/>
      <c r="F46" s="385"/>
      <c r="G46" s="386"/>
      <c r="H46" s="386"/>
      <c r="I46" s="386"/>
      <c r="J46" s="386"/>
      <c r="K46" s="386"/>
      <c r="L46" s="299"/>
      <c r="M46" s="299"/>
    </row>
    <row r="47" spans="1:13" s="281" customFormat="1" ht="22.5" customHeight="1">
      <c r="A47" s="296"/>
      <c r="B47" s="301" t="s">
        <v>544</v>
      </c>
      <c r="C47" s="298">
        <v>580599579</v>
      </c>
      <c r="D47" s="388"/>
      <c r="E47" s="388"/>
      <c r="F47" s="385"/>
      <c r="G47" s="386"/>
      <c r="H47" s="386"/>
      <c r="I47" s="386"/>
      <c r="J47" s="386"/>
      <c r="K47" s="386"/>
      <c r="L47" s="299"/>
      <c r="M47" s="299"/>
    </row>
    <row r="48" spans="1:13" s="288" customFormat="1" ht="42" customHeight="1">
      <c r="A48" s="293" t="s">
        <v>421</v>
      </c>
      <c r="B48" s="295" t="s">
        <v>422</v>
      </c>
      <c r="C48" s="81">
        <f aca="true" t="shared" si="13" ref="C48:K48">SUM(C49:C52)</f>
        <v>0</v>
      </c>
      <c r="D48" s="381">
        <f>D49+D51</f>
        <v>15000000000</v>
      </c>
      <c r="E48" s="381">
        <f>E49+E51</f>
        <v>15000000000</v>
      </c>
      <c r="F48" s="382">
        <f t="shared" si="13"/>
        <v>31041002828</v>
      </c>
      <c r="G48" s="383">
        <f t="shared" si="13"/>
        <v>16181827793</v>
      </c>
      <c r="H48" s="383">
        <f t="shared" si="13"/>
        <v>14859175035</v>
      </c>
      <c r="I48" s="383">
        <f t="shared" si="13"/>
        <v>0</v>
      </c>
      <c r="J48" s="383">
        <f t="shared" si="13"/>
        <v>14859175035</v>
      </c>
      <c r="K48" s="383">
        <f t="shared" si="13"/>
        <v>0</v>
      </c>
      <c r="L48" s="82">
        <f>(F48/D48)*100%</f>
        <v>2.0694001885333333</v>
      </c>
      <c r="M48" s="82">
        <f>(F48/E48)*100%</f>
        <v>2.0694001885333333</v>
      </c>
    </row>
    <row r="49" spans="1:13" s="288" customFormat="1" ht="42" customHeight="1">
      <c r="A49" s="293" t="s">
        <v>31</v>
      </c>
      <c r="B49" s="297" t="s">
        <v>299</v>
      </c>
      <c r="C49" s="300"/>
      <c r="D49" s="386">
        <v>15000000000</v>
      </c>
      <c r="E49" s="386">
        <f>D49</f>
        <v>15000000000</v>
      </c>
      <c r="F49" s="385">
        <f aca="true" t="shared" si="14" ref="F49:F57">+G49+H49</f>
        <v>11323846998</v>
      </c>
      <c r="G49" s="386">
        <f>2577754891+3153148628+870493</f>
        <v>5731774012</v>
      </c>
      <c r="H49" s="386">
        <f aca="true" t="shared" si="15" ref="H49:H57">+I49+J49+K49</f>
        <v>5592072986</v>
      </c>
      <c r="I49" s="386"/>
      <c r="J49" s="386">
        <f>2285933606+2796188433+771947+509179000</f>
        <v>5592072986</v>
      </c>
      <c r="K49" s="386">
        <v>0</v>
      </c>
      <c r="L49" s="82"/>
      <c r="M49" s="82"/>
    </row>
    <row r="50" spans="1:13" s="288" customFormat="1" ht="42" customHeight="1">
      <c r="A50" s="293" t="s">
        <v>31</v>
      </c>
      <c r="B50" s="297" t="s">
        <v>300</v>
      </c>
      <c r="C50" s="300"/>
      <c r="D50" s="386"/>
      <c r="E50" s="386"/>
      <c r="F50" s="385">
        <f t="shared" si="14"/>
        <v>0</v>
      </c>
      <c r="G50" s="386"/>
      <c r="H50" s="386">
        <f t="shared" si="15"/>
        <v>0</v>
      </c>
      <c r="I50" s="386"/>
      <c r="J50" s="386"/>
      <c r="K50" s="386"/>
      <c r="L50" s="82"/>
      <c r="M50" s="82"/>
    </row>
    <row r="51" spans="1:13" s="288" customFormat="1" ht="22.5" customHeight="1">
      <c r="A51" s="293" t="s">
        <v>31</v>
      </c>
      <c r="B51" s="297" t="s">
        <v>302</v>
      </c>
      <c r="C51" s="300"/>
      <c r="D51" s="386"/>
      <c r="E51" s="386"/>
      <c r="F51" s="385">
        <f t="shared" si="14"/>
        <v>19717082630</v>
      </c>
      <c r="G51" s="386">
        <f>275576084+7468228+10059706830+107302639</f>
        <v>10450053781</v>
      </c>
      <c r="H51" s="386">
        <f t="shared" si="15"/>
        <v>9267028849</v>
      </c>
      <c r="I51" s="386"/>
      <c r="J51" s="386">
        <f>244378796+6622770+8920872102+95155181</f>
        <v>9267028849</v>
      </c>
      <c r="K51" s="386">
        <v>0</v>
      </c>
      <c r="L51" s="82"/>
      <c r="M51" s="82"/>
    </row>
    <row r="52" spans="1:13" s="288" customFormat="1" ht="22.5" customHeight="1">
      <c r="A52" s="293" t="s">
        <v>31</v>
      </c>
      <c r="B52" s="297" t="s">
        <v>301</v>
      </c>
      <c r="C52" s="300"/>
      <c r="D52" s="384"/>
      <c r="E52" s="381"/>
      <c r="F52" s="385">
        <f t="shared" si="14"/>
        <v>73200</v>
      </c>
      <c r="G52" s="386">
        <v>0</v>
      </c>
      <c r="H52" s="386">
        <f t="shared" si="15"/>
        <v>73200</v>
      </c>
      <c r="I52" s="386"/>
      <c r="J52" s="386">
        <v>73200</v>
      </c>
      <c r="K52" s="386"/>
      <c r="L52" s="82"/>
      <c r="M52" s="82"/>
    </row>
    <row r="53" spans="1:13" s="288" customFormat="1" ht="22.5" customHeight="1">
      <c r="A53" s="293">
        <v>4</v>
      </c>
      <c r="B53" s="295" t="s">
        <v>87</v>
      </c>
      <c r="C53" s="298">
        <v>19477889678</v>
      </c>
      <c r="D53" s="383">
        <v>35000000000</v>
      </c>
      <c r="E53" s="383">
        <v>39000000000</v>
      </c>
      <c r="F53" s="382">
        <f t="shared" si="14"/>
        <v>57588161224</v>
      </c>
      <c r="G53" s="383">
        <v>0</v>
      </c>
      <c r="H53" s="383">
        <f t="shared" si="15"/>
        <v>57588161224</v>
      </c>
      <c r="I53" s="383">
        <v>0</v>
      </c>
      <c r="J53" s="383">
        <v>44190080711</v>
      </c>
      <c r="K53" s="383">
        <v>13398080513</v>
      </c>
      <c r="L53" s="82">
        <f>(F53/D53)*100%</f>
        <v>1.6453760349714286</v>
      </c>
      <c r="M53" s="82">
        <f>(F53/E53)*100%</f>
        <v>1.4766195185641027</v>
      </c>
    </row>
    <row r="54" spans="1:13" s="288" customFormat="1" ht="22.5" customHeight="1">
      <c r="A54" s="293">
        <v>5</v>
      </c>
      <c r="B54" s="295" t="s">
        <v>89</v>
      </c>
      <c r="C54" s="302"/>
      <c r="D54" s="386"/>
      <c r="E54" s="386"/>
      <c r="F54" s="382">
        <f t="shared" si="14"/>
        <v>0</v>
      </c>
      <c r="G54" s="383">
        <v>0</v>
      </c>
      <c r="H54" s="383">
        <f t="shared" si="15"/>
        <v>0</v>
      </c>
      <c r="I54" s="383" t="s">
        <v>423</v>
      </c>
      <c r="J54" s="383" t="s">
        <v>423</v>
      </c>
      <c r="K54" s="383" t="s">
        <v>423</v>
      </c>
      <c r="L54" s="82"/>
      <c r="M54" s="82"/>
    </row>
    <row r="55" spans="1:13" s="288" customFormat="1" ht="22.5" customHeight="1">
      <c r="A55" s="293">
        <v>6</v>
      </c>
      <c r="B55" s="295" t="s">
        <v>90</v>
      </c>
      <c r="C55" s="298">
        <v>2739634425</v>
      </c>
      <c r="D55" s="383">
        <v>2500000000</v>
      </c>
      <c r="E55" s="383">
        <v>2500000000</v>
      </c>
      <c r="F55" s="382">
        <f t="shared" si="14"/>
        <v>2269225692</v>
      </c>
      <c r="G55" s="383">
        <v>0</v>
      </c>
      <c r="H55" s="383">
        <f t="shared" si="15"/>
        <v>2269225692</v>
      </c>
      <c r="I55" s="383">
        <v>0</v>
      </c>
      <c r="J55" s="383">
        <v>215257970</v>
      </c>
      <c r="K55" s="383">
        <v>2053967722</v>
      </c>
      <c r="L55" s="82">
        <f>(F55/D55)*100%</f>
        <v>0.9076902768</v>
      </c>
      <c r="M55" s="82">
        <f>(F55/E55)*100%</f>
        <v>0.9076902768</v>
      </c>
    </row>
    <row r="56" spans="1:13" s="288" customFormat="1" ht="22.5" customHeight="1">
      <c r="A56" s="293">
        <v>7</v>
      </c>
      <c r="B56" s="295" t="s">
        <v>85</v>
      </c>
      <c r="C56" s="298">
        <v>27286667832</v>
      </c>
      <c r="D56" s="383">
        <v>52000000000</v>
      </c>
      <c r="E56" s="383">
        <v>55500000000</v>
      </c>
      <c r="F56" s="382">
        <f t="shared" si="14"/>
        <v>59440846212</v>
      </c>
      <c r="G56" s="383">
        <v>31503646669</v>
      </c>
      <c r="H56" s="383">
        <f t="shared" si="15"/>
        <v>27937199543</v>
      </c>
      <c r="I56" s="383">
        <v>209965049</v>
      </c>
      <c r="J56" s="383">
        <v>27727234494</v>
      </c>
      <c r="K56" s="383">
        <v>0</v>
      </c>
      <c r="L56" s="82">
        <f>(F56/D56)*100%</f>
        <v>1.1430931963846154</v>
      </c>
      <c r="M56" s="82">
        <f>(F56/E56)*100%</f>
        <v>1.0710062380540541</v>
      </c>
    </row>
    <row r="57" spans="1:13" s="288" customFormat="1" ht="22.5" customHeight="1">
      <c r="A57" s="293">
        <v>8</v>
      </c>
      <c r="B57" s="295" t="s">
        <v>86</v>
      </c>
      <c r="C57" s="298">
        <v>568650840</v>
      </c>
      <c r="D57" s="383">
        <v>2000000000</v>
      </c>
      <c r="E57" s="383">
        <f>D57</f>
        <v>2000000000</v>
      </c>
      <c r="F57" s="382">
        <f t="shared" si="14"/>
        <v>3792904718</v>
      </c>
      <c r="G57" s="383">
        <v>3114523822</v>
      </c>
      <c r="H57" s="383">
        <f t="shared" si="15"/>
        <v>678380896</v>
      </c>
      <c r="I57" s="383">
        <v>0</v>
      </c>
      <c r="J57" s="383">
        <v>678380896</v>
      </c>
      <c r="K57" s="383">
        <v>0</v>
      </c>
      <c r="L57" s="82">
        <f>(F57/D57)*100%</f>
        <v>1.896452359</v>
      </c>
      <c r="M57" s="82">
        <f>(F57/E57)*100%</f>
        <v>1.896452359</v>
      </c>
    </row>
    <row r="58" spans="1:13" s="288" customFormat="1" ht="22.5" customHeight="1">
      <c r="A58" s="293">
        <v>9</v>
      </c>
      <c r="B58" s="295" t="s">
        <v>424</v>
      </c>
      <c r="C58" s="298">
        <v>14103878078</v>
      </c>
      <c r="D58" s="383">
        <v>16000000000</v>
      </c>
      <c r="E58" s="383">
        <f>D58</f>
        <v>16000000000</v>
      </c>
      <c r="F58" s="382">
        <f aca="true" t="shared" si="16" ref="F58:K58">SUM(F59:F62)</f>
        <v>17457404240</v>
      </c>
      <c r="G58" s="383">
        <f t="shared" si="16"/>
        <v>5106752850</v>
      </c>
      <c r="H58" s="383">
        <f t="shared" si="16"/>
        <v>12350651390</v>
      </c>
      <c r="I58" s="383">
        <f t="shared" si="16"/>
        <v>3843916360</v>
      </c>
      <c r="J58" s="383">
        <f t="shared" si="16"/>
        <v>7540947030</v>
      </c>
      <c r="K58" s="383">
        <f t="shared" si="16"/>
        <v>965788000</v>
      </c>
      <c r="L58" s="82">
        <f>(F58/D58)*100%</f>
        <v>1.091087765</v>
      </c>
      <c r="M58" s="82">
        <f>(F58/E58)*100%</f>
        <v>1.091087765</v>
      </c>
    </row>
    <row r="59" spans="1:13" s="281" customFormat="1" ht="22.5" customHeight="1">
      <c r="A59" s="296" t="s">
        <v>31</v>
      </c>
      <c r="B59" s="297" t="s">
        <v>425</v>
      </c>
      <c r="C59" s="300"/>
      <c r="D59" s="386"/>
      <c r="E59" s="386"/>
      <c r="F59" s="385">
        <f aca="true" t="shared" si="17" ref="F59:F65">+G59+H59</f>
        <v>5180252850</v>
      </c>
      <c r="G59" s="386">
        <v>5106752850</v>
      </c>
      <c r="H59" s="386">
        <f aca="true" t="shared" si="18" ref="H59:H65">+I59+J59+K59</f>
        <v>73500000</v>
      </c>
      <c r="I59" s="386"/>
      <c r="J59" s="386">
        <v>73500000</v>
      </c>
      <c r="K59" s="386"/>
      <c r="L59" s="299"/>
      <c r="M59" s="299"/>
    </row>
    <row r="60" spans="1:13" s="281" customFormat="1" ht="22.5" customHeight="1">
      <c r="A60" s="296" t="s">
        <v>31</v>
      </c>
      <c r="B60" s="297" t="s">
        <v>426</v>
      </c>
      <c r="C60" s="300"/>
      <c r="D60" s="386"/>
      <c r="E60" s="386"/>
      <c r="F60" s="385">
        <f t="shared" si="17"/>
        <v>3718898766</v>
      </c>
      <c r="G60" s="386"/>
      <c r="H60" s="386">
        <f t="shared" si="18"/>
        <v>3718898766</v>
      </c>
      <c r="I60" s="386">
        <v>3554898766</v>
      </c>
      <c r="J60" s="386">
        <v>164000000</v>
      </c>
      <c r="K60" s="386"/>
      <c r="L60" s="299"/>
      <c r="M60" s="299"/>
    </row>
    <row r="61" spans="1:13" s="281" customFormat="1" ht="22.5" customHeight="1">
      <c r="A61" s="296" t="s">
        <v>31</v>
      </c>
      <c r="B61" s="297" t="s">
        <v>427</v>
      </c>
      <c r="C61" s="300"/>
      <c r="D61" s="386"/>
      <c r="E61" s="386"/>
      <c r="F61" s="385">
        <f t="shared" si="17"/>
        <v>7592414624</v>
      </c>
      <c r="G61" s="386">
        <v>0</v>
      </c>
      <c r="H61" s="386">
        <f t="shared" si="18"/>
        <v>7592414624</v>
      </c>
      <c r="I61" s="386">
        <v>288967594</v>
      </c>
      <c r="J61" s="386">
        <v>7303447030</v>
      </c>
      <c r="K61" s="386"/>
      <c r="L61" s="299"/>
      <c r="M61" s="299"/>
    </row>
    <row r="62" spans="1:13" s="288" customFormat="1" ht="22.5" customHeight="1">
      <c r="A62" s="296" t="s">
        <v>31</v>
      </c>
      <c r="B62" s="297" t="s">
        <v>428</v>
      </c>
      <c r="C62" s="300"/>
      <c r="D62" s="386"/>
      <c r="E62" s="386"/>
      <c r="F62" s="385">
        <f t="shared" si="17"/>
        <v>965838000</v>
      </c>
      <c r="G62" s="386">
        <v>0</v>
      </c>
      <c r="H62" s="386">
        <f t="shared" si="18"/>
        <v>965838000</v>
      </c>
      <c r="I62" s="386">
        <v>50000</v>
      </c>
      <c r="J62" s="386"/>
      <c r="K62" s="386">
        <v>965788000</v>
      </c>
      <c r="L62" s="82"/>
      <c r="M62" s="82"/>
    </row>
    <row r="63" spans="1:13" s="288" customFormat="1" ht="22.5" customHeight="1">
      <c r="A63" s="293">
        <v>10</v>
      </c>
      <c r="B63" s="295" t="s">
        <v>92</v>
      </c>
      <c r="C63" s="298">
        <v>77151010943</v>
      </c>
      <c r="D63" s="383">
        <v>85000000000</v>
      </c>
      <c r="E63" s="383">
        <v>110000000000</v>
      </c>
      <c r="F63" s="382">
        <f t="shared" si="17"/>
        <v>132980321724</v>
      </c>
      <c r="G63" s="383">
        <v>0</v>
      </c>
      <c r="H63" s="383">
        <f t="shared" si="18"/>
        <v>132980321724</v>
      </c>
      <c r="I63" s="383">
        <v>53192128682</v>
      </c>
      <c r="J63" s="383">
        <v>79788193042</v>
      </c>
      <c r="K63" s="383">
        <v>0</v>
      </c>
      <c r="L63" s="82">
        <f>(F63/D63)*100%</f>
        <v>1.5644743732235293</v>
      </c>
      <c r="M63" s="82">
        <f>(F63/E63)*100%</f>
        <v>1.2089120156727273</v>
      </c>
    </row>
    <row r="64" spans="1:13" s="288" customFormat="1" ht="22.5" customHeight="1">
      <c r="A64" s="293">
        <v>11</v>
      </c>
      <c r="B64" s="295" t="s">
        <v>429</v>
      </c>
      <c r="C64" s="298">
        <v>384785428</v>
      </c>
      <c r="D64" s="383">
        <v>150000000</v>
      </c>
      <c r="E64" s="383">
        <v>150000000</v>
      </c>
      <c r="F64" s="382">
        <f t="shared" si="17"/>
        <v>88227421</v>
      </c>
      <c r="G64" s="383">
        <v>0</v>
      </c>
      <c r="H64" s="383">
        <f t="shared" si="18"/>
        <v>88227421</v>
      </c>
      <c r="I64" s="383">
        <v>29921718</v>
      </c>
      <c r="J64" s="383">
        <v>58305703</v>
      </c>
      <c r="K64" s="383">
        <v>0</v>
      </c>
      <c r="L64" s="82">
        <f>(F64/D64)*100%</f>
        <v>0.5881828066666667</v>
      </c>
      <c r="M64" s="82">
        <f>(F64/E64)*100%</f>
        <v>0.5881828066666667</v>
      </c>
    </row>
    <row r="65" spans="1:13" s="307" customFormat="1" ht="22.5" customHeight="1" hidden="1">
      <c r="A65" s="303"/>
      <c r="B65" s="304" t="s">
        <v>545</v>
      </c>
      <c r="C65" s="305"/>
      <c r="D65" s="386"/>
      <c r="E65" s="386"/>
      <c r="F65" s="389" t="e">
        <f t="shared" si="17"/>
        <v>#REF!</v>
      </c>
      <c r="G65" s="390" t="e">
        <f>+#REF!</f>
        <v>#REF!</v>
      </c>
      <c r="H65" s="390" t="e">
        <f t="shared" si="18"/>
        <v>#REF!</v>
      </c>
      <c r="I65" s="390" t="e">
        <f>+#REF!</f>
        <v>#REF!</v>
      </c>
      <c r="J65" s="390" t="e">
        <f>+#REF!</f>
        <v>#REF!</v>
      </c>
      <c r="K65" s="390" t="e">
        <f>+#REF!</f>
        <v>#REF!</v>
      </c>
      <c r="L65" s="306"/>
      <c r="M65" s="306"/>
    </row>
    <row r="66" spans="1:13" s="288" customFormat="1" ht="22.5" customHeight="1">
      <c r="A66" s="293">
        <v>12</v>
      </c>
      <c r="B66" s="295" t="s">
        <v>546</v>
      </c>
      <c r="C66" s="302"/>
      <c r="D66" s="386"/>
      <c r="E66" s="386"/>
      <c r="F66" s="386"/>
      <c r="G66" s="386"/>
      <c r="H66" s="386"/>
      <c r="I66" s="386"/>
      <c r="J66" s="386"/>
      <c r="K66" s="386"/>
      <c r="L66" s="82"/>
      <c r="M66" s="82"/>
    </row>
    <row r="67" spans="1:13" s="288" customFormat="1" ht="42" customHeight="1">
      <c r="A67" s="293">
        <v>13</v>
      </c>
      <c r="B67" s="295" t="s">
        <v>94</v>
      </c>
      <c r="C67" s="298">
        <v>78064560</v>
      </c>
      <c r="D67" s="386">
        <f>SUM(D68:D69)</f>
        <v>0</v>
      </c>
      <c r="E67" s="386">
        <f>SUM(E68:E69)</f>
        <v>0</v>
      </c>
      <c r="F67" s="382">
        <f>SUM(F68:F69)</f>
        <v>0</v>
      </c>
      <c r="G67" s="383">
        <f>SUM(G68:G69)</f>
        <v>0</v>
      </c>
      <c r="H67" s="383">
        <f>SUM(H68:H69)</f>
        <v>0</v>
      </c>
      <c r="I67" s="383"/>
      <c r="J67" s="383"/>
      <c r="K67" s="383"/>
      <c r="L67" s="82"/>
      <c r="M67" s="82"/>
    </row>
    <row r="68" spans="1:13" s="281" customFormat="1" ht="22.5" customHeight="1">
      <c r="A68" s="296" t="s">
        <v>31</v>
      </c>
      <c r="B68" s="297" t="s">
        <v>430</v>
      </c>
      <c r="C68" s="300"/>
      <c r="D68" s="386"/>
      <c r="E68" s="386"/>
      <c r="F68" s="385">
        <f>+G68+H68</f>
        <v>0</v>
      </c>
      <c r="G68" s="386">
        <v>0</v>
      </c>
      <c r="H68" s="386">
        <f>+I68+J68+K68</f>
        <v>0</v>
      </c>
      <c r="I68" s="386">
        <v>0</v>
      </c>
      <c r="J68" s="386">
        <v>0</v>
      </c>
      <c r="K68" s="386">
        <v>0</v>
      </c>
      <c r="L68" s="299"/>
      <c r="M68" s="299"/>
    </row>
    <row r="69" spans="1:13" s="281" customFormat="1" ht="22.5" customHeight="1">
      <c r="A69" s="296" t="s">
        <v>31</v>
      </c>
      <c r="B69" s="297" t="s">
        <v>431</v>
      </c>
      <c r="C69" s="300"/>
      <c r="D69" s="386"/>
      <c r="E69" s="386"/>
      <c r="F69" s="385">
        <f>+G69+H69</f>
        <v>0</v>
      </c>
      <c r="G69" s="386">
        <v>0</v>
      </c>
      <c r="H69" s="386">
        <f>+I69+J69+K69</f>
        <v>0</v>
      </c>
      <c r="I69" s="386">
        <v>0</v>
      </c>
      <c r="J69" s="386">
        <v>0</v>
      </c>
      <c r="K69" s="386">
        <v>0</v>
      </c>
      <c r="L69" s="299"/>
      <c r="M69" s="299"/>
    </row>
    <row r="70" spans="1:13" s="288" customFormat="1" ht="22.5" customHeight="1">
      <c r="A70" s="293">
        <v>14</v>
      </c>
      <c r="B70" s="295" t="s">
        <v>432</v>
      </c>
      <c r="C70" s="298">
        <v>838383896</v>
      </c>
      <c r="D70" s="382">
        <f>SUM(D71:D76)-D72</f>
        <v>30000000</v>
      </c>
      <c r="E70" s="382">
        <f>SUM(E71:E76)-E72</f>
        <v>30000000</v>
      </c>
      <c r="F70" s="382">
        <f>SUM(F71:F76)-F72</f>
        <v>0</v>
      </c>
      <c r="G70" s="382">
        <f>SUM(G71:G76)</f>
        <v>0</v>
      </c>
      <c r="H70" s="382">
        <f>SUM(H71:H76)-H72</f>
        <v>0</v>
      </c>
      <c r="I70" s="382">
        <f>SUM(I71:I76)</f>
        <v>0</v>
      </c>
      <c r="J70" s="382">
        <f>SUM(J71:J76)</f>
        <v>0</v>
      </c>
      <c r="K70" s="382">
        <f>SUM(K71:K76)</f>
        <v>0</v>
      </c>
      <c r="L70" s="82">
        <f>(F70/D70)*100%</f>
        <v>0</v>
      </c>
      <c r="M70" s="82">
        <f>(F70/E70)*100%</f>
        <v>0</v>
      </c>
    </row>
    <row r="71" spans="1:13" s="288" customFormat="1" ht="22.5" customHeight="1">
      <c r="A71" s="296" t="s">
        <v>31</v>
      </c>
      <c r="B71" s="297" t="s">
        <v>433</v>
      </c>
      <c r="C71" s="298"/>
      <c r="D71" s="386"/>
      <c r="E71" s="386"/>
      <c r="F71" s="385">
        <f aca="true" t="shared" si="19" ref="F71:F76">+G71+H71</f>
        <v>0</v>
      </c>
      <c r="G71" s="386"/>
      <c r="H71" s="386">
        <f aca="true" t="shared" si="20" ref="H71:H76">+I71+J71+K71</f>
        <v>0</v>
      </c>
      <c r="I71" s="383"/>
      <c r="J71" s="383"/>
      <c r="K71" s="386"/>
      <c r="L71" s="82"/>
      <c r="M71" s="82"/>
    </row>
    <row r="72" spans="1:13" s="310" customFormat="1" ht="48" customHeight="1">
      <c r="A72" s="303"/>
      <c r="B72" s="304" t="s">
        <v>434</v>
      </c>
      <c r="C72" s="308"/>
      <c r="D72" s="386"/>
      <c r="E72" s="386"/>
      <c r="F72" s="389">
        <f t="shared" si="19"/>
        <v>0</v>
      </c>
      <c r="G72" s="390"/>
      <c r="H72" s="390">
        <f t="shared" si="20"/>
        <v>0</v>
      </c>
      <c r="I72" s="391"/>
      <c r="J72" s="391"/>
      <c r="K72" s="390"/>
      <c r="L72" s="309"/>
      <c r="M72" s="309"/>
    </row>
    <row r="73" spans="1:13" s="288" customFormat="1" ht="22.5" customHeight="1">
      <c r="A73" s="296" t="s">
        <v>31</v>
      </c>
      <c r="B73" s="297" t="s">
        <v>435</v>
      </c>
      <c r="C73" s="298"/>
      <c r="D73" s="386"/>
      <c r="E73" s="386"/>
      <c r="F73" s="385">
        <f t="shared" si="19"/>
        <v>0</v>
      </c>
      <c r="G73" s="386"/>
      <c r="H73" s="386">
        <f t="shared" si="20"/>
        <v>0</v>
      </c>
      <c r="I73" s="383"/>
      <c r="J73" s="383"/>
      <c r="K73" s="386"/>
      <c r="L73" s="82"/>
      <c r="M73" s="82"/>
    </row>
    <row r="74" spans="1:13" s="288" customFormat="1" ht="22.5" customHeight="1">
      <c r="A74" s="296" t="s">
        <v>31</v>
      </c>
      <c r="B74" s="297" t="s">
        <v>436</v>
      </c>
      <c r="C74" s="298"/>
      <c r="D74" s="386"/>
      <c r="E74" s="386"/>
      <c r="F74" s="385">
        <f t="shared" si="19"/>
        <v>0</v>
      </c>
      <c r="G74" s="386"/>
      <c r="H74" s="386">
        <f t="shared" si="20"/>
        <v>0</v>
      </c>
      <c r="I74" s="383"/>
      <c r="J74" s="383"/>
      <c r="K74" s="386"/>
      <c r="L74" s="82"/>
      <c r="M74" s="82"/>
    </row>
    <row r="75" spans="1:13" s="288" customFormat="1" ht="22.5" customHeight="1">
      <c r="A75" s="296" t="s">
        <v>31</v>
      </c>
      <c r="B75" s="297" t="s">
        <v>437</v>
      </c>
      <c r="C75" s="298"/>
      <c r="D75" s="386">
        <v>30000000</v>
      </c>
      <c r="E75" s="386">
        <v>30000000</v>
      </c>
      <c r="F75" s="385">
        <f t="shared" si="19"/>
        <v>0</v>
      </c>
      <c r="G75" s="386"/>
      <c r="H75" s="386">
        <f t="shared" si="20"/>
        <v>0</v>
      </c>
      <c r="I75" s="383"/>
      <c r="J75" s="383"/>
      <c r="K75" s="386"/>
      <c r="L75" s="82"/>
      <c r="M75" s="82"/>
    </row>
    <row r="76" spans="1:13" s="288" customFormat="1" ht="22.5" customHeight="1">
      <c r="A76" s="296" t="s">
        <v>31</v>
      </c>
      <c r="B76" s="297" t="s">
        <v>438</v>
      </c>
      <c r="C76" s="298"/>
      <c r="D76" s="386"/>
      <c r="E76" s="386"/>
      <c r="F76" s="385">
        <f t="shared" si="19"/>
        <v>0</v>
      </c>
      <c r="G76" s="386"/>
      <c r="H76" s="386">
        <f t="shared" si="20"/>
        <v>0</v>
      </c>
      <c r="I76" s="383"/>
      <c r="J76" s="383"/>
      <c r="K76" s="386"/>
      <c r="L76" s="82"/>
      <c r="M76" s="82"/>
    </row>
    <row r="77" spans="1:13" s="288" customFormat="1" ht="22.5" customHeight="1">
      <c r="A77" s="293">
        <v>15</v>
      </c>
      <c r="B77" s="295" t="s">
        <v>95</v>
      </c>
      <c r="C77" s="298">
        <v>26768638569</v>
      </c>
      <c r="D77" s="383">
        <v>25000000000</v>
      </c>
      <c r="E77" s="383">
        <v>31000000000</v>
      </c>
      <c r="F77" s="382">
        <f aca="true" t="shared" si="21" ref="F77:K77">SUM(F78:F79,F82,F84:F88)</f>
        <v>23851418581</v>
      </c>
      <c r="G77" s="382">
        <f t="shared" si="21"/>
        <v>17183717395</v>
      </c>
      <c r="H77" s="382">
        <f t="shared" si="21"/>
        <v>6667701186</v>
      </c>
      <c r="I77" s="382">
        <f t="shared" si="21"/>
        <v>1442690930</v>
      </c>
      <c r="J77" s="382">
        <f>SUM(J78:J79,J82,J84:J88)</f>
        <v>2844874026</v>
      </c>
      <c r="K77" s="382">
        <f t="shared" si="21"/>
        <v>2380136230</v>
      </c>
      <c r="L77" s="82">
        <f>(F77/D77)*100%</f>
        <v>0.95405674324</v>
      </c>
      <c r="M77" s="82">
        <f>(F77/E77)*100%</f>
        <v>0.7694005993870968</v>
      </c>
    </row>
    <row r="78" spans="1:13" s="281" customFormat="1" ht="22.5" customHeight="1">
      <c r="A78" s="296" t="s">
        <v>31</v>
      </c>
      <c r="B78" s="297" t="s">
        <v>439</v>
      </c>
      <c r="C78" s="300"/>
      <c r="D78" s="386"/>
      <c r="E78" s="386"/>
      <c r="F78" s="385">
        <f aca="true" t="shared" si="22" ref="F78:F89">+G78+H78</f>
        <v>0</v>
      </c>
      <c r="G78" s="386">
        <v>0</v>
      </c>
      <c r="H78" s="386">
        <f aca="true" t="shared" si="23" ref="H78:H89">+I78+J78+K78</f>
        <v>0</v>
      </c>
      <c r="I78" s="386">
        <v>0</v>
      </c>
      <c r="J78" s="386">
        <v>0</v>
      </c>
      <c r="K78" s="386">
        <v>0</v>
      </c>
      <c r="L78" s="299"/>
      <c r="M78" s="299"/>
    </row>
    <row r="79" spans="1:13" s="281" customFormat="1" ht="22.5" customHeight="1">
      <c r="A79" s="296" t="s">
        <v>31</v>
      </c>
      <c r="B79" s="297" t="s">
        <v>433</v>
      </c>
      <c r="C79" s="300"/>
      <c r="D79" s="386"/>
      <c r="E79" s="386"/>
      <c r="F79" s="385">
        <f>+G79+H79</f>
        <v>20009580181</v>
      </c>
      <c r="G79" s="386">
        <v>17008017710</v>
      </c>
      <c r="H79" s="386">
        <f>I79+J79+K79</f>
        <v>3001562471</v>
      </c>
      <c r="I79" s="386">
        <v>606781150</v>
      </c>
      <c r="J79" s="386">
        <v>706352903</v>
      </c>
      <c r="K79" s="386">
        <v>1688428418</v>
      </c>
      <c r="L79" s="299"/>
      <c r="M79" s="299"/>
    </row>
    <row r="80" spans="1:13" s="307" customFormat="1" ht="55.5" customHeight="1">
      <c r="A80" s="303"/>
      <c r="B80" s="304" t="s">
        <v>434</v>
      </c>
      <c r="C80" s="305"/>
      <c r="D80" s="386"/>
      <c r="E80" s="386"/>
      <c r="F80" s="389">
        <f t="shared" si="22"/>
        <v>15165898762</v>
      </c>
      <c r="G80" s="390">
        <v>15112780137</v>
      </c>
      <c r="H80" s="390">
        <f t="shared" si="23"/>
        <v>53118625</v>
      </c>
      <c r="I80" s="390"/>
      <c r="J80" s="390"/>
      <c r="K80" s="390">
        <v>53118625</v>
      </c>
      <c r="L80" s="306"/>
      <c r="M80" s="306"/>
    </row>
    <row r="81" spans="1:13" s="307" customFormat="1" ht="42" customHeight="1">
      <c r="A81" s="303"/>
      <c r="B81" s="304" t="s">
        <v>440</v>
      </c>
      <c r="C81" s="305"/>
      <c r="D81" s="386"/>
      <c r="E81" s="386"/>
      <c r="F81" s="389">
        <f t="shared" si="22"/>
        <v>945780323</v>
      </c>
      <c r="G81" s="390">
        <v>945780323</v>
      </c>
      <c r="H81" s="390">
        <f t="shared" si="23"/>
        <v>0</v>
      </c>
      <c r="I81" s="390">
        <v>0</v>
      </c>
      <c r="J81" s="390">
        <v>0</v>
      </c>
      <c r="K81" s="390"/>
      <c r="L81" s="306"/>
      <c r="M81" s="306"/>
    </row>
    <row r="82" spans="1:13" s="281" customFormat="1" ht="22.5" customHeight="1">
      <c r="A82" s="296" t="s">
        <v>31</v>
      </c>
      <c r="B82" s="297" t="s">
        <v>435</v>
      </c>
      <c r="C82" s="300"/>
      <c r="D82" s="386"/>
      <c r="E82" s="386"/>
      <c r="F82" s="385">
        <f t="shared" si="22"/>
        <v>163561000</v>
      </c>
      <c r="G82" s="386">
        <v>31936000</v>
      </c>
      <c r="H82" s="386">
        <f t="shared" si="23"/>
        <v>131625000</v>
      </c>
      <c r="I82" s="386">
        <v>131625000</v>
      </c>
      <c r="J82" s="386">
        <v>0</v>
      </c>
      <c r="K82" s="386"/>
      <c r="L82" s="299"/>
      <c r="M82" s="299"/>
    </row>
    <row r="83" spans="1:13" s="307" customFormat="1" ht="22.5" customHeight="1">
      <c r="A83" s="303"/>
      <c r="B83" s="304" t="s">
        <v>441</v>
      </c>
      <c r="C83" s="305"/>
      <c r="D83" s="386"/>
      <c r="E83" s="386"/>
      <c r="F83" s="389">
        <f t="shared" si="22"/>
        <v>0</v>
      </c>
      <c r="G83" s="390">
        <v>0</v>
      </c>
      <c r="H83" s="390">
        <f t="shared" si="23"/>
        <v>0</v>
      </c>
      <c r="I83" s="390">
        <v>0</v>
      </c>
      <c r="J83" s="390">
        <v>0</v>
      </c>
      <c r="K83" s="390"/>
      <c r="L83" s="306"/>
      <c r="M83" s="306"/>
    </row>
    <row r="84" spans="1:13" s="281" customFormat="1" ht="22.5" customHeight="1">
      <c r="A84" s="296" t="s">
        <v>31</v>
      </c>
      <c r="B84" s="297" t="s">
        <v>436</v>
      </c>
      <c r="C84" s="300"/>
      <c r="D84" s="386"/>
      <c r="E84" s="386"/>
      <c r="F84" s="385">
        <f t="shared" si="22"/>
        <v>1849695092</v>
      </c>
      <c r="G84" s="386">
        <v>135429245</v>
      </c>
      <c r="H84" s="386">
        <f t="shared" si="23"/>
        <v>1714265847</v>
      </c>
      <c r="I84" s="386">
        <v>344102380</v>
      </c>
      <c r="J84" s="386">
        <v>715767600</v>
      </c>
      <c r="K84" s="386">
        <v>654395867</v>
      </c>
      <c r="L84" s="299"/>
      <c r="M84" s="299"/>
    </row>
    <row r="85" spans="1:13" s="281" customFormat="1" ht="22.5" customHeight="1">
      <c r="A85" s="296" t="s">
        <v>31</v>
      </c>
      <c r="B85" s="297" t="s">
        <v>442</v>
      </c>
      <c r="C85" s="300"/>
      <c r="D85" s="386"/>
      <c r="E85" s="386"/>
      <c r="F85" s="385">
        <f t="shared" si="22"/>
        <v>0</v>
      </c>
      <c r="G85" s="386">
        <v>0</v>
      </c>
      <c r="H85" s="386">
        <f t="shared" si="23"/>
        <v>0</v>
      </c>
      <c r="I85" s="386">
        <v>0</v>
      </c>
      <c r="J85" s="386">
        <v>0</v>
      </c>
      <c r="K85" s="386">
        <v>0</v>
      </c>
      <c r="L85" s="299"/>
      <c r="M85" s="299"/>
    </row>
    <row r="86" spans="1:13" s="281" customFormat="1" ht="22.5" customHeight="1">
      <c r="A86" s="296" t="s">
        <v>31</v>
      </c>
      <c r="B86" s="297" t="s">
        <v>443</v>
      </c>
      <c r="C86" s="300"/>
      <c r="D86" s="386"/>
      <c r="E86" s="386"/>
      <c r="F86" s="385">
        <f t="shared" si="22"/>
        <v>295000</v>
      </c>
      <c r="G86" s="386"/>
      <c r="H86" s="386">
        <f t="shared" si="23"/>
        <v>295000</v>
      </c>
      <c r="I86" s="386"/>
      <c r="J86" s="386"/>
      <c r="K86" s="386">
        <v>295000</v>
      </c>
      <c r="L86" s="299"/>
      <c r="M86" s="299"/>
    </row>
    <row r="87" spans="1:13" s="281" customFormat="1" ht="42" customHeight="1">
      <c r="A87" s="296" t="s">
        <v>31</v>
      </c>
      <c r="B87" s="297" t="s">
        <v>444</v>
      </c>
      <c r="C87" s="300"/>
      <c r="D87" s="386"/>
      <c r="E87" s="386"/>
      <c r="F87" s="385">
        <f t="shared" si="22"/>
        <v>0</v>
      </c>
      <c r="G87" s="386">
        <v>0</v>
      </c>
      <c r="H87" s="386">
        <f t="shared" si="23"/>
        <v>0</v>
      </c>
      <c r="I87" s="386">
        <v>0</v>
      </c>
      <c r="J87" s="386">
        <v>0</v>
      </c>
      <c r="K87" s="386">
        <v>0</v>
      </c>
      <c r="L87" s="299"/>
      <c r="M87" s="299"/>
    </row>
    <row r="88" spans="1:13" s="281" customFormat="1" ht="22.5" customHeight="1">
      <c r="A88" s="296" t="s">
        <v>31</v>
      </c>
      <c r="B88" s="297" t="s">
        <v>438</v>
      </c>
      <c r="C88" s="300"/>
      <c r="D88" s="386"/>
      <c r="E88" s="386"/>
      <c r="F88" s="385">
        <f t="shared" si="22"/>
        <v>1828287308</v>
      </c>
      <c r="G88" s="386">
        <v>8334440</v>
      </c>
      <c r="H88" s="386">
        <f t="shared" si="23"/>
        <v>1819952868</v>
      </c>
      <c r="I88" s="386">
        <v>360182400</v>
      </c>
      <c r="J88" s="386">
        <v>1422753523</v>
      </c>
      <c r="K88" s="386">
        <v>37016945</v>
      </c>
      <c r="L88" s="299"/>
      <c r="M88" s="299"/>
    </row>
    <row r="89" spans="1:13" s="288" customFormat="1" ht="54.75" customHeight="1">
      <c r="A89" s="293">
        <v>16</v>
      </c>
      <c r="B89" s="295" t="s">
        <v>445</v>
      </c>
      <c r="C89" s="302"/>
      <c r="D89" s="386"/>
      <c r="E89" s="386"/>
      <c r="F89" s="382">
        <f t="shared" si="22"/>
        <v>0</v>
      </c>
      <c r="G89" s="383">
        <v>0</v>
      </c>
      <c r="H89" s="383">
        <f t="shared" si="23"/>
        <v>0</v>
      </c>
      <c r="I89" s="383"/>
      <c r="J89" s="383">
        <v>0</v>
      </c>
      <c r="K89" s="383">
        <v>0</v>
      </c>
      <c r="L89" s="82"/>
      <c r="M89" s="82"/>
    </row>
    <row r="90" spans="1:13" s="288" customFormat="1" ht="24" customHeight="1">
      <c r="A90" s="311">
        <v>17</v>
      </c>
      <c r="B90" s="295" t="s">
        <v>446</v>
      </c>
      <c r="C90" s="302"/>
      <c r="D90" s="386">
        <f aca="true" t="shared" si="24" ref="D90:K90">SUM(D91:D95)</f>
        <v>0</v>
      </c>
      <c r="E90" s="386">
        <f t="shared" si="24"/>
        <v>0</v>
      </c>
      <c r="F90" s="382">
        <f t="shared" si="24"/>
        <v>0</v>
      </c>
      <c r="G90" s="383">
        <f t="shared" si="24"/>
        <v>0</v>
      </c>
      <c r="H90" s="383">
        <f t="shared" si="24"/>
        <v>0</v>
      </c>
      <c r="I90" s="383">
        <f t="shared" si="24"/>
        <v>0</v>
      </c>
      <c r="J90" s="383">
        <f t="shared" si="24"/>
        <v>0</v>
      </c>
      <c r="K90" s="383">
        <f t="shared" si="24"/>
        <v>0</v>
      </c>
      <c r="L90" s="82"/>
      <c r="M90" s="82"/>
    </row>
    <row r="91" spans="1:13" s="281" customFormat="1" ht="24" customHeight="1">
      <c r="A91" s="312" t="s">
        <v>31</v>
      </c>
      <c r="B91" s="297" t="s">
        <v>447</v>
      </c>
      <c r="C91" s="300"/>
      <c r="D91" s="386"/>
      <c r="E91" s="386"/>
      <c r="F91" s="385">
        <f>+G91+H91</f>
        <v>0</v>
      </c>
      <c r="G91" s="386">
        <v>0</v>
      </c>
      <c r="H91" s="386">
        <f>+I91+J91+K91</f>
        <v>0</v>
      </c>
      <c r="I91" s="386">
        <v>0</v>
      </c>
      <c r="J91" s="386">
        <v>0</v>
      </c>
      <c r="K91" s="386">
        <v>0</v>
      </c>
      <c r="L91" s="299"/>
      <c r="M91" s="299"/>
    </row>
    <row r="92" spans="1:13" s="281" customFormat="1" ht="24" customHeight="1">
      <c r="A92" s="312" t="s">
        <v>31</v>
      </c>
      <c r="B92" s="297" t="s">
        <v>302</v>
      </c>
      <c r="C92" s="300"/>
      <c r="D92" s="386"/>
      <c r="E92" s="386"/>
      <c r="F92" s="385">
        <f>+G92+H92</f>
        <v>0</v>
      </c>
      <c r="G92" s="386">
        <v>0</v>
      </c>
      <c r="H92" s="386">
        <f>+I92+J92+K92</f>
        <v>0</v>
      </c>
      <c r="I92" s="386">
        <v>0</v>
      </c>
      <c r="J92" s="386">
        <v>0</v>
      </c>
      <c r="K92" s="386">
        <v>0</v>
      </c>
      <c r="L92" s="299"/>
      <c r="M92" s="299"/>
    </row>
    <row r="93" spans="1:13" s="281" customFormat="1" ht="24" customHeight="1">
      <c r="A93" s="312" t="s">
        <v>31</v>
      </c>
      <c r="B93" s="297" t="s">
        <v>448</v>
      </c>
      <c r="C93" s="300"/>
      <c r="D93" s="386"/>
      <c r="E93" s="386"/>
      <c r="F93" s="385">
        <f>+G93+H93</f>
        <v>0</v>
      </c>
      <c r="G93" s="386">
        <v>0</v>
      </c>
      <c r="H93" s="386">
        <f>+I93+J93+K93</f>
        <v>0</v>
      </c>
      <c r="I93" s="386">
        <v>0</v>
      </c>
      <c r="J93" s="386">
        <v>0</v>
      </c>
      <c r="K93" s="386">
        <v>0</v>
      </c>
      <c r="L93" s="299"/>
      <c r="M93" s="299"/>
    </row>
    <row r="94" spans="1:13" s="281" customFormat="1" ht="24" customHeight="1">
      <c r="A94" s="312" t="s">
        <v>31</v>
      </c>
      <c r="B94" s="297" t="s">
        <v>449</v>
      </c>
      <c r="C94" s="300"/>
      <c r="D94" s="386"/>
      <c r="E94" s="386"/>
      <c r="F94" s="385">
        <f>+G94+H94</f>
        <v>0</v>
      </c>
      <c r="G94" s="386">
        <v>0</v>
      </c>
      <c r="H94" s="386">
        <f>+I94+J94+K94</f>
        <v>0</v>
      </c>
      <c r="I94" s="386">
        <v>0</v>
      </c>
      <c r="J94" s="386">
        <v>0</v>
      </c>
      <c r="K94" s="386">
        <v>0</v>
      </c>
      <c r="L94" s="299"/>
      <c r="M94" s="299"/>
    </row>
    <row r="95" spans="1:13" s="281" customFormat="1" ht="24" customHeight="1">
      <c r="A95" s="312" t="s">
        <v>31</v>
      </c>
      <c r="B95" s="297" t="s">
        <v>450</v>
      </c>
      <c r="C95" s="300"/>
      <c r="D95" s="386"/>
      <c r="E95" s="386"/>
      <c r="F95" s="385">
        <f>+G95+H95</f>
        <v>0</v>
      </c>
      <c r="G95" s="386">
        <v>0</v>
      </c>
      <c r="H95" s="386">
        <f>+I95+J95+K95</f>
        <v>0</v>
      </c>
      <c r="I95" s="386">
        <v>0</v>
      </c>
      <c r="J95" s="386">
        <v>0</v>
      </c>
      <c r="K95" s="386">
        <v>0</v>
      </c>
      <c r="L95" s="299"/>
      <c r="M95" s="299"/>
    </row>
    <row r="96" spans="1:13" s="288" customFormat="1" ht="27" customHeight="1">
      <c r="A96" s="311" t="s">
        <v>14</v>
      </c>
      <c r="B96" s="295" t="s">
        <v>451</v>
      </c>
      <c r="C96" s="81">
        <f aca="true" t="shared" si="25" ref="C96:K96">+C97+C106</f>
        <v>0</v>
      </c>
      <c r="D96" s="386">
        <f t="shared" si="25"/>
        <v>0</v>
      </c>
      <c r="E96" s="386">
        <f t="shared" si="25"/>
        <v>0</v>
      </c>
      <c r="F96" s="382">
        <f t="shared" si="25"/>
        <v>0</v>
      </c>
      <c r="G96" s="383">
        <f t="shared" si="25"/>
        <v>0</v>
      </c>
      <c r="H96" s="383">
        <f t="shared" si="25"/>
        <v>0</v>
      </c>
      <c r="I96" s="383">
        <f t="shared" si="25"/>
        <v>0</v>
      </c>
      <c r="J96" s="383">
        <f t="shared" si="25"/>
        <v>0</v>
      </c>
      <c r="K96" s="383">
        <f t="shared" si="25"/>
        <v>0</v>
      </c>
      <c r="L96" s="299"/>
      <c r="M96" s="299"/>
    </row>
    <row r="97" spans="1:13" s="288" customFormat="1" ht="30" customHeight="1">
      <c r="A97" s="311">
        <v>1</v>
      </c>
      <c r="B97" s="295" t="s">
        <v>452</v>
      </c>
      <c r="C97" s="81">
        <f aca="true" t="shared" si="26" ref="C97:K97">SUM(C98,C102:C105)</f>
        <v>0</v>
      </c>
      <c r="D97" s="386">
        <f t="shared" si="26"/>
        <v>0</v>
      </c>
      <c r="E97" s="386">
        <f t="shared" si="26"/>
        <v>0</v>
      </c>
      <c r="F97" s="382">
        <f t="shared" si="26"/>
        <v>0</v>
      </c>
      <c r="G97" s="383">
        <f t="shared" si="26"/>
        <v>0</v>
      </c>
      <c r="H97" s="383">
        <f t="shared" si="26"/>
        <v>0</v>
      </c>
      <c r="I97" s="383">
        <f t="shared" si="26"/>
        <v>0</v>
      </c>
      <c r="J97" s="383">
        <f t="shared" si="26"/>
        <v>0</v>
      </c>
      <c r="K97" s="383">
        <f t="shared" si="26"/>
        <v>0</v>
      </c>
      <c r="L97" s="82"/>
      <c r="M97" s="82"/>
    </row>
    <row r="98" spans="1:13" s="281" customFormat="1" ht="42" customHeight="1">
      <c r="A98" s="312" t="s">
        <v>31</v>
      </c>
      <c r="B98" s="297" t="s">
        <v>453</v>
      </c>
      <c r="C98" s="300"/>
      <c r="D98" s="386"/>
      <c r="E98" s="386"/>
      <c r="F98" s="385">
        <f aca="true" t="shared" si="27" ref="F98:K98">SUM(F99:F101)</f>
        <v>0</v>
      </c>
      <c r="G98" s="386">
        <f t="shared" si="27"/>
        <v>0</v>
      </c>
      <c r="H98" s="386">
        <f t="shared" si="27"/>
        <v>0</v>
      </c>
      <c r="I98" s="386">
        <f t="shared" si="27"/>
        <v>0</v>
      </c>
      <c r="J98" s="386">
        <f t="shared" si="27"/>
        <v>0</v>
      </c>
      <c r="K98" s="386">
        <f t="shared" si="27"/>
        <v>0</v>
      </c>
      <c r="L98" s="299"/>
      <c r="M98" s="299"/>
    </row>
    <row r="99" spans="1:13" s="307" customFormat="1" ht="24" customHeight="1">
      <c r="A99" s="313"/>
      <c r="B99" s="304" t="s">
        <v>199</v>
      </c>
      <c r="C99" s="305"/>
      <c r="D99" s="386"/>
      <c r="E99" s="386"/>
      <c r="F99" s="389">
        <f aca="true" t="shared" si="28" ref="F99:F107">+G99+H99</f>
        <v>0</v>
      </c>
      <c r="G99" s="390">
        <v>0</v>
      </c>
      <c r="H99" s="390">
        <f aca="true" t="shared" si="29" ref="H99:H107">+I99+J99+K99</f>
        <v>0</v>
      </c>
      <c r="I99" s="390">
        <v>0</v>
      </c>
      <c r="J99" s="390">
        <v>0</v>
      </c>
      <c r="K99" s="390">
        <v>0</v>
      </c>
      <c r="L99" s="306"/>
      <c r="M99" s="306"/>
    </row>
    <row r="100" spans="1:13" s="307" customFormat="1" ht="24" customHeight="1">
      <c r="A100" s="313"/>
      <c r="B100" s="304" t="s">
        <v>200</v>
      </c>
      <c r="C100" s="305"/>
      <c r="D100" s="386"/>
      <c r="E100" s="386"/>
      <c r="F100" s="389">
        <f t="shared" si="28"/>
        <v>0</v>
      </c>
      <c r="G100" s="390">
        <v>0</v>
      </c>
      <c r="H100" s="390">
        <f t="shared" si="29"/>
        <v>0</v>
      </c>
      <c r="I100" s="390">
        <v>0</v>
      </c>
      <c r="J100" s="390">
        <v>0</v>
      </c>
      <c r="K100" s="390">
        <v>0</v>
      </c>
      <c r="L100" s="306"/>
      <c r="M100" s="306"/>
    </row>
    <row r="101" spans="1:13" s="307" customFormat="1" ht="34.5" customHeight="1">
      <c r="A101" s="313"/>
      <c r="B101" s="304" t="s">
        <v>454</v>
      </c>
      <c r="C101" s="305"/>
      <c r="D101" s="386"/>
      <c r="E101" s="386"/>
      <c r="F101" s="389">
        <f t="shared" si="28"/>
        <v>0</v>
      </c>
      <c r="G101" s="390">
        <v>0</v>
      </c>
      <c r="H101" s="390">
        <f t="shared" si="29"/>
        <v>0</v>
      </c>
      <c r="I101" s="390">
        <v>0</v>
      </c>
      <c r="J101" s="390">
        <v>0</v>
      </c>
      <c r="K101" s="390">
        <v>0</v>
      </c>
      <c r="L101" s="306"/>
      <c r="M101" s="306"/>
    </row>
    <row r="102" spans="1:13" s="281" customFormat="1" ht="34.5" customHeight="1">
      <c r="A102" s="312" t="s">
        <v>31</v>
      </c>
      <c r="B102" s="297" t="s">
        <v>455</v>
      </c>
      <c r="C102" s="300"/>
      <c r="D102" s="386"/>
      <c r="E102" s="386"/>
      <c r="F102" s="385">
        <f t="shared" si="28"/>
        <v>0</v>
      </c>
      <c r="G102" s="386">
        <v>0</v>
      </c>
      <c r="H102" s="386">
        <f t="shared" si="29"/>
        <v>0</v>
      </c>
      <c r="I102" s="386">
        <v>0</v>
      </c>
      <c r="J102" s="386">
        <v>0</v>
      </c>
      <c r="K102" s="386">
        <v>0</v>
      </c>
      <c r="L102" s="299"/>
      <c r="M102" s="299"/>
    </row>
    <row r="103" spans="1:13" s="281" customFormat="1" ht="42" customHeight="1">
      <c r="A103" s="312" t="s">
        <v>31</v>
      </c>
      <c r="B103" s="297" t="s">
        <v>456</v>
      </c>
      <c r="C103" s="300"/>
      <c r="D103" s="386"/>
      <c r="E103" s="386"/>
      <c r="F103" s="385">
        <f t="shared" si="28"/>
        <v>0</v>
      </c>
      <c r="G103" s="386">
        <v>0</v>
      </c>
      <c r="H103" s="386">
        <f t="shared" si="29"/>
        <v>0</v>
      </c>
      <c r="I103" s="386">
        <v>0</v>
      </c>
      <c r="J103" s="386">
        <v>0</v>
      </c>
      <c r="K103" s="386">
        <v>0</v>
      </c>
      <c r="L103" s="299"/>
      <c r="M103" s="299"/>
    </row>
    <row r="104" spans="1:13" s="281" customFormat="1" ht="47.25" customHeight="1">
      <c r="A104" s="312" t="s">
        <v>31</v>
      </c>
      <c r="B104" s="297" t="s">
        <v>457</v>
      </c>
      <c r="C104" s="300"/>
      <c r="D104" s="386"/>
      <c r="E104" s="386"/>
      <c r="F104" s="385">
        <f t="shared" si="28"/>
        <v>0</v>
      </c>
      <c r="G104" s="386">
        <v>0</v>
      </c>
      <c r="H104" s="386">
        <f t="shared" si="29"/>
        <v>0</v>
      </c>
      <c r="I104" s="386">
        <v>0</v>
      </c>
      <c r="J104" s="386">
        <v>0</v>
      </c>
      <c r="K104" s="386">
        <v>0</v>
      </c>
      <c r="L104" s="299"/>
      <c r="M104" s="299"/>
    </row>
    <row r="105" spans="1:13" s="281" customFormat="1" ht="30" customHeight="1">
      <c r="A105" s="312" t="s">
        <v>31</v>
      </c>
      <c r="B105" s="297" t="s">
        <v>450</v>
      </c>
      <c r="C105" s="300"/>
      <c r="D105" s="386"/>
      <c r="E105" s="386"/>
      <c r="F105" s="385">
        <f t="shared" si="28"/>
        <v>0</v>
      </c>
      <c r="G105" s="386">
        <v>0</v>
      </c>
      <c r="H105" s="386">
        <f t="shared" si="29"/>
        <v>0</v>
      </c>
      <c r="I105" s="386">
        <v>0</v>
      </c>
      <c r="J105" s="386">
        <v>0</v>
      </c>
      <c r="K105" s="386">
        <v>0</v>
      </c>
      <c r="L105" s="299"/>
      <c r="M105" s="299"/>
    </row>
    <row r="106" spans="1:13" s="288" customFormat="1" ht="30" customHeight="1">
      <c r="A106" s="311">
        <v>2</v>
      </c>
      <c r="B106" s="295" t="s">
        <v>458</v>
      </c>
      <c r="C106" s="302"/>
      <c r="D106" s="386"/>
      <c r="E106" s="386"/>
      <c r="F106" s="382">
        <f t="shared" si="28"/>
        <v>0</v>
      </c>
      <c r="G106" s="383">
        <v>0</v>
      </c>
      <c r="H106" s="383">
        <f t="shared" si="29"/>
        <v>0</v>
      </c>
      <c r="I106" s="383">
        <v>0</v>
      </c>
      <c r="J106" s="383">
        <v>0</v>
      </c>
      <c r="K106" s="383">
        <v>0</v>
      </c>
      <c r="L106" s="82"/>
      <c r="M106" s="82"/>
    </row>
    <row r="107" spans="1:13" s="288" customFormat="1" ht="30" customHeight="1">
      <c r="A107" s="311" t="s">
        <v>17</v>
      </c>
      <c r="B107" s="295" t="s">
        <v>459</v>
      </c>
      <c r="C107" s="302"/>
      <c r="D107" s="386"/>
      <c r="E107" s="386"/>
      <c r="F107" s="382">
        <f t="shared" si="28"/>
        <v>0</v>
      </c>
      <c r="G107" s="383">
        <v>0</v>
      </c>
      <c r="H107" s="383">
        <f t="shared" si="29"/>
        <v>0</v>
      </c>
      <c r="I107" s="383">
        <v>0</v>
      </c>
      <c r="J107" s="383">
        <v>0</v>
      </c>
      <c r="K107" s="383">
        <v>0</v>
      </c>
      <c r="L107" s="82"/>
      <c r="M107" s="82"/>
    </row>
    <row r="108" spans="1:13" s="288" customFormat="1" ht="32.25" customHeight="1">
      <c r="A108" s="311" t="s">
        <v>19</v>
      </c>
      <c r="B108" s="295" t="s">
        <v>460</v>
      </c>
      <c r="C108" s="81">
        <f aca="true" t="shared" si="30" ref="C108:K108">SUM(C109:C110)</f>
        <v>4365285405</v>
      </c>
      <c r="D108" s="383">
        <f t="shared" si="30"/>
        <v>0</v>
      </c>
      <c r="E108" s="383">
        <f t="shared" si="30"/>
        <v>34794000000</v>
      </c>
      <c r="F108" s="382">
        <f t="shared" si="30"/>
        <v>2906464209</v>
      </c>
      <c r="G108" s="383">
        <f t="shared" si="30"/>
        <v>0</v>
      </c>
      <c r="H108" s="383">
        <f t="shared" si="30"/>
        <v>2906464209</v>
      </c>
      <c r="I108" s="383">
        <f t="shared" si="30"/>
        <v>0</v>
      </c>
      <c r="J108" s="383">
        <f t="shared" si="30"/>
        <v>0</v>
      </c>
      <c r="K108" s="383">
        <f t="shared" si="30"/>
        <v>2906464209</v>
      </c>
      <c r="L108" s="82"/>
      <c r="M108" s="82">
        <f>(F108/E108)*100%</f>
        <v>0.0835334887911709</v>
      </c>
    </row>
    <row r="109" spans="1:13" s="281" customFormat="1" ht="42" customHeight="1">
      <c r="A109" s="312" t="s">
        <v>31</v>
      </c>
      <c r="B109" s="297" t="s">
        <v>461</v>
      </c>
      <c r="C109" s="298">
        <v>4365275405</v>
      </c>
      <c r="D109" s="386">
        <v>0</v>
      </c>
      <c r="E109" s="386">
        <v>5654000000</v>
      </c>
      <c r="F109" s="385">
        <f>+G109+H109</f>
        <v>2906464209</v>
      </c>
      <c r="G109" s="386">
        <v>0</v>
      </c>
      <c r="H109" s="386">
        <f>+I109+J109+K109</f>
        <v>2906464209</v>
      </c>
      <c r="I109" s="386">
        <v>0</v>
      </c>
      <c r="J109" s="386">
        <v>0</v>
      </c>
      <c r="K109" s="386">
        <v>2906464209</v>
      </c>
      <c r="L109" s="82"/>
      <c r="M109" s="82">
        <f>(F109/E109)*100%</f>
        <v>0.5140545116731517</v>
      </c>
    </row>
    <row r="110" spans="1:13" s="281" customFormat="1" ht="27.75" customHeight="1">
      <c r="A110" s="312" t="s">
        <v>31</v>
      </c>
      <c r="B110" s="297" t="s">
        <v>462</v>
      </c>
      <c r="C110" s="298">
        <v>10000</v>
      </c>
      <c r="D110" s="386"/>
      <c r="E110" s="386">
        <v>29140000000</v>
      </c>
      <c r="F110" s="385">
        <f>+G110+H110</f>
        <v>0</v>
      </c>
      <c r="G110" s="386">
        <v>0</v>
      </c>
      <c r="H110" s="386">
        <f>+I110+J110+K110</f>
        <v>0</v>
      </c>
      <c r="I110" s="386">
        <v>0</v>
      </c>
      <c r="J110" s="386">
        <v>0</v>
      </c>
      <c r="K110" s="386">
        <v>0</v>
      </c>
      <c r="L110" s="299"/>
      <c r="M110" s="299"/>
    </row>
    <row r="111" spans="1:13" s="288" customFormat="1" ht="42" customHeight="1">
      <c r="A111" s="311" t="s">
        <v>29</v>
      </c>
      <c r="B111" s="295" t="s">
        <v>463</v>
      </c>
      <c r="C111" s="302"/>
      <c r="D111" s="386">
        <f>SUM(D112:D113,D116)</f>
        <v>0</v>
      </c>
      <c r="E111" s="386"/>
      <c r="F111" s="382">
        <f aca="true" t="shared" si="31" ref="F111:K111">SUM(F112:F113,F116)</f>
        <v>0</v>
      </c>
      <c r="G111" s="383">
        <f t="shared" si="31"/>
        <v>0</v>
      </c>
      <c r="H111" s="383">
        <f t="shared" si="31"/>
        <v>0</v>
      </c>
      <c r="I111" s="383">
        <f t="shared" si="31"/>
        <v>0</v>
      </c>
      <c r="J111" s="383">
        <f t="shared" si="31"/>
        <v>0</v>
      </c>
      <c r="K111" s="383">
        <f t="shared" si="31"/>
        <v>0</v>
      </c>
      <c r="L111" s="82"/>
      <c r="M111" s="82"/>
    </row>
    <row r="112" spans="1:13" s="288" customFormat="1" ht="42" customHeight="1">
      <c r="A112" s="311">
        <v>1</v>
      </c>
      <c r="B112" s="295" t="s">
        <v>464</v>
      </c>
      <c r="C112" s="302"/>
      <c r="D112" s="386"/>
      <c r="E112" s="386"/>
      <c r="F112" s="382">
        <f>+G112+H112</f>
        <v>0</v>
      </c>
      <c r="G112" s="383">
        <v>0</v>
      </c>
      <c r="H112" s="383">
        <f>+I112+J112+K112</f>
        <v>0</v>
      </c>
      <c r="I112" s="383">
        <v>0</v>
      </c>
      <c r="J112" s="383">
        <v>0</v>
      </c>
      <c r="K112" s="383">
        <v>0</v>
      </c>
      <c r="L112" s="82"/>
      <c r="M112" s="82"/>
    </row>
    <row r="113" spans="1:13" s="288" customFormat="1" ht="42" customHeight="1">
      <c r="A113" s="311">
        <v>2</v>
      </c>
      <c r="B113" s="295" t="s">
        <v>465</v>
      </c>
      <c r="C113" s="81">
        <f aca="true" t="shared" si="32" ref="C113:K113">+SUM(C114:C115)</f>
        <v>0</v>
      </c>
      <c r="D113" s="386">
        <f t="shared" si="32"/>
        <v>0</v>
      </c>
      <c r="E113" s="386">
        <f t="shared" si="32"/>
        <v>0</v>
      </c>
      <c r="F113" s="382">
        <f t="shared" si="32"/>
        <v>0</v>
      </c>
      <c r="G113" s="383">
        <f t="shared" si="32"/>
        <v>0</v>
      </c>
      <c r="H113" s="383">
        <f t="shared" si="32"/>
        <v>0</v>
      </c>
      <c r="I113" s="383">
        <f t="shared" si="32"/>
        <v>0</v>
      </c>
      <c r="J113" s="383">
        <f t="shared" si="32"/>
        <v>0</v>
      </c>
      <c r="K113" s="383">
        <f t="shared" si="32"/>
        <v>0</v>
      </c>
      <c r="L113" s="82"/>
      <c r="M113" s="82"/>
    </row>
    <row r="114" spans="1:13" s="281" customFormat="1" ht="30" customHeight="1">
      <c r="A114" s="312" t="s">
        <v>31</v>
      </c>
      <c r="B114" s="297" t="s">
        <v>466</v>
      </c>
      <c r="C114" s="300"/>
      <c r="D114" s="386"/>
      <c r="E114" s="386"/>
      <c r="F114" s="385">
        <f>+G114+H114</f>
        <v>0</v>
      </c>
      <c r="G114" s="386">
        <v>0</v>
      </c>
      <c r="H114" s="386">
        <f>+I114+J114+K114</f>
        <v>0</v>
      </c>
      <c r="I114" s="386">
        <v>0</v>
      </c>
      <c r="J114" s="386">
        <v>0</v>
      </c>
      <c r="K114" s="386">
        <v>0</v>
      </c>
      <c r="L114" s="299"/>
      <c r="M114" s="299"/>
    </row>
    <row r="115" spans="1:13" s="281" customFormat="1" ht="30" customHeight="1">
      <c r="A115" s="312" t="s">
        <v>31</v>
      </c>
      <c r="B115" s="297" t="s">
        <v>467</v>
      </c>
      <c r="C115" s="300"/>
      <c r="D115" s="386"/>
      <c r="E115" s="386"/>
      <c r="F115" s="385">
        <f>+G115+H115</f>
        <v>0</v>
      </c>
      <c r="G115" s="386">
        <v>0</v>
      </c>
      <c r="H115" s="386">
        <f>+I115+J115+K115</f>
        <v>0</v>
      </c>
      <c r="I115" s="386">
        <v>0</v>
      </c>
      <c r="J115" s="386">
        <v>0</v>
      </c>
      <c r="K115" s="386">
        <v>0</v>
      </c>
      <c r="L115" s="299"/>
      <c r="M115" s="299"/>
    </row>
    <row r="116" spans="1:13" s="288" customFormat="1" ht="30" customHeight="1">
      <c r="A116" s="311">
        <v>3</v>
      </c>
      <c r="B116" s="295" t="s">
        <v>468</v>
      </c>
      <c r="C116" s="302"/>
      <c r="D116" s="386"/>
      <c r="E116" s="386"/>
      <c r="F116" s="382">
        <f>+G116+H116</f>
        <v>0</v>
      </c>
      <c r="G116" s="383">
        <v>0</v>
      </c>
      <c r="H116" s="383">
        <f>+I116+J116+K116</f>
        <v>0</v>
      </c>
      <c r="I116" s="383">
        <v>0</v>
      </c>
      <c r="J116" s="383">
        <v>0</v>
      </c>
      <c r="K116" s="383">
        <v>0</v>
      </c>
      <c r="L116" s="82"/>
      <c r="M116" s="82"/>
    </row>
    <row r="117" spans="1:13" s="288" customFormat="1" ht="30" customHeight="1">
      <c r="A117" s="311" t="s">
        <v>108</v>
      </c>
      <c r="B117" s="295" t="s">
        <v>594</v>
      </c>
      <c r="C117" s="302"/>
      <c r="D117" s="386"/>
      <c r="E117" s="386"/>
      <c r="F117" s="382">
        <f>+G117+H117</f>
        <v>0</v>
      </c>
      <c r="G117" s="383"/>
      <c r="H117" s="383">
        <f>+I117+J117+K117</f>
        <v>0</v>
      </c>
      <c r="I117" s="383"/>
      <c r="J117" s="383"/>
      <c r="K117" s="383"/>
      <c r="L117" s="82"/>
      <c r="M117" s="82"/>
    </row>
    <row r="118" spans="1:13" s="288" customFormat="1" ht="42" customHeight="1">
      <c r="A118" s="311" t="s">
        <v>20</v>
      </c>
      <c r="B118" s="295" t="s">
        <v>469</v>
      </c>
      <c r="C118" s="302"/>
      <c r="D118" s="386"/>
      <c r="E118" s="386"/>
      <c r="F118" s="382">
        <f aca="true" t="shared" si="33" ref="F118:K118">SUM(F119:F120)</f>
        <v>0</v>
      </c>
      <c r="G118" s="383">
        <f t="shared" si="33"/>
        <v>0</v>
      </c>
      <c r="H118" s="383">
        <f t="shared" si="33"/>
        <v>0</v>
      </c>
      <c r="I118" s="383">
        <f t="shared" si="33"/>
        <v>0</v>
      </c>
      <c r="J118" s="383">
        <f t="shared" si="33"/>
        <v>0</v>
      </c>
      <c r="K118" s="383">
        <f t="shared" si="33"/>
        <v>0</v>
      </c>
      <c r="L118" s="82"/>
      <c r="M118" s="82"/>
    </row>
    <row r="119" spans="1:13" s="281" customFormat="1" ht="31.5" customHeight="1">
      <c r="A119" s="312">
        <v>1</v>
      </c>
      <c r="B119" s="297" t="s">
        <v>470</v>
      </c>
      <c r="C119" s="300"/>
      <c r="D119" s="386"/>
      <c r="E119" s="386"/>
      <c r="F119" s="385">
        <f>+G119+H119</f>
        <v>0</v>
      </c>
      <c r="G119" s="386">
        <v>0</v>
      </c>
      <c r="H119" s="386">
        <f>+I119+J119+K119</f>
        <v>0</v>
      </c>
      <c r="I119" s="386">
        <v>0</v>
      </c>
      <c r="J119" s="386">
        <v>0</v>
      </c>
      <c r="K119" s="386">
        <v>0</v>
      </c>
      <c r="L119" s="299"/>
      <c r="M119" s="299"/>
    </row>
    <row r="120" spans="1:13" s="281" customFormat="1" ht="42" customHeight="1">
      <c r="A120" s="312">
        <v>2</v>
      </c>
      <c r="B120" s="297" t="s">
        <v>471</v>
      </c>
      <c r="C120" s="300"/>
      <c r="D120" s="386"/>
      <c r="E120" s="386"/>
      <c r="F120" s="385">
        <f>+G120+H120</f>
        <v>0</v>
      </c>
      <c r="G120" s="386">
        <v>0</v>
      </c>
      <c r="H120" s="386">
        <f>+I120+J120+K120</f>
        <v>0</v>
      </c>
      <c r="I120" s="386">
        <v>0</v>
      </c>
      <c r="J120" s="386">
        <v>0</v>
      </c>
      <c r="K120" s="386">
        <v>0</v>
      </c>
      <c r="L120" s="299"/>
      <c r="M120" s="299"/>
    </row>
    <row r="121" spans="1:13" s="288" customFormat="1" ht="22.5" customHeight="1">
      <c r="A121" s="311" t="s">
        <v>22</v>
      </c>
      <c r="B121" s="295" t="s">
        <v>472</v>
      </c>
      <c r="C121" s="81">
        <f aca="true" t="shared" si="34" ref="C121:K121">SUM(C122,C127)</f>
        <v>685141992173</v>
      </c>
      <c r="D121" s="383">
        <f t="shared" si="34"/>
        <v>876033500000</v>
      </c>
      <c r="E121" s="383">
        <f t="shared" si="34"/>
        <v>876033500000</v>
      </c>
      <c r="F121" s="382">
        <f t="shared" si="34"/>
        <v>1107553145895</v>
      </c>
      <c r="G121" s="383">
        <f t="shared" si="34"/>
        <v>0</v>
      </c>
      <c r="H121" s="383">
        <f t="shared" si="34"/>
        <v>1107553145895</v>
      </c>
      <c r="I121" s="383">
        <f t="shared" si="34"/>
        <v>9328866497</v>
      </c>
      <c r="J121" s="383">
        <f t="shared" si="34"/>
        <v>876033500000</v>
      </c>
      <c r="K121" s="383">
        <f t="shared" si="34"/>
        <v>222190779398</v>
      </c>
      <c r="L121" s="82">
        <f>(F121/D121)*100%</f>
        <v>1.26428172654927</v>
      </c>
      <c r="M121" s="82">
        <f>(F121/E121)*100%</f>
        <v>1.26428172654927</v>
      </c>
    </row>
    <row r="122" spans="1:13" s="288" customFormat="1" ht="22.5" customHeight="1">
      <c r="A122" s="311" t="s">
        <v>10</v>
      </c>
      <c r="B122" s="295" t="s">
        <v>473</v>
      </c>
      <c r="C122" s="81">
        <f aca="true" t="shared" si="35" ref="C122:K122">SUM(C123:C124)</f>
        <v>685051195173</v>
      </c>
      <c r="D122" s="383">
        <f t="shared" si="35"/>
        <v>876033500000</v>
      </c>
      <c r="E122" s="383">
        <f t="shared" si="35"/>
        <v>876033500000</v>
      </c>
      <c r="F122" s="382">
        <f t="shared" si="35"/>
        <v>1098224279398</v>
      </c>
      <c r="G122" s="383">
        <f t="shared" si="35"/>
        <v>0</v>
      </c>
      <c r="H122" s="383">
        <f t="shared" si="35"/>
        <v>1098224279398</v>
      </c>
      <c r="I122" s="383">
        <f t="shared" si="35"/>
        <v>0</v>
      </c>
      <c r="J122" s="383">
        <f t="shared" si="35"/>
        <v>876033500000</v>
      </c>
      <c r="K122" s="383">
        <f t="shared" si="35"/>
        <v>222190779398</v>
      </c>
      <c r="L122" s="82">
        <f>(F122/D122)*100%</f>
        <v>1.253632742809493</v>
      </c>
      <c r="M122" s="82">
        <f>(F122/E122)*100%</f>
        <v>1.253632742809493</v>
      </c>
    </row>
    <row r="123" spans="1:13" s="288" customFormat="1" ht="22.5" customHeight="1">
      <c r="A123" s="311">
        <v>1</v>
      </c>
      <c r="B123" s="295" t="s">
        <v>474</v>
      </c>
      <c r="C123" s="298">
        <v>544906000000</v>
      </c>
      <c r="D123" s="383">
        <v>449180500000</v>
      </c>
      <c r="E123" s="383">
        <f>D123</f>
        <v>449180500000</v>
      </c>
      <c r="F123" s="382">
        <f>+G123+H123</f>
        <v>527976500000</v>
      </c>
      <c r="G123" s="383">
        <v>0</v>
      </c>
      <c r="H123" s="383">
        <f>+I123+J123+K123</f>
        <v>527976500000</v>
      </c>
      <c r="I123" s="383">
        <v>0</v>
      </c>
      <c r="J123" s="383">
        <v>449180500000</v>
      </c>
      <c r="K123" s="383">
        <v>78796000000</v>
      </c>
      <c r="L123" s="82">
        <f>(F123/D123)*100%</f>
        <v>1.1754216846011794</v>
      </c>
      <c r="M123" s="82">
        <f>(F123/E123)*100%</f>
        <v>1.1754216846011794</v>
      </c>
    </row>
    <row r="124" spans="1:13" s="288" customFormat="1" ht="22.5" customHeight="1">
      <c r="A124" s="311">
        <v>2</v>
      </c>
      <c r="B124" s="295" t="s">
        <v>40</v>
      </c>
      <c r="C124" s="81">
        <f aca="true" t="shared" si="36" ref="C124:K124">SUM(C125:C126)</f>
        <v>140145195173</v>
      </c>
      <c r="D124" s="392">
        <f>SUM(D125:D125)</f>
        <v>426853000000</v>
      </c>
      <c r="E124" s="392">
        <f>SUM(E125:E125)</f>
        <v>426853000000</v>
      </c>
      <c r="F124" s="393">
        <f t="shared" si="36"/>
        <v>570247779398</v>
      </c>
      <c r="G124" s="392">
        <f t="shared" si="36"/>
        <v>0</v>
      </c>
      <c r="H124" s="392">
        <f t="shared" si="36"/>
        <v>570247779398</v>
      </c>
      <c r="I124" s="392">
        <f t="shared" si="36"/>
        <v>0</v>
      </c>
      <c r="J124" s="392">
        <f t="shared" si="36"/>
        <v>426853000000</v>
      </c>
      <c r="K124" s="392">
        <f t="shared" si="36"/>
        <v>143394779398</v>
      </c>
      <c r="L124" s="82">
        <f>(F124/D124)*100%</f>
        <v>1.3359348051858602</v>
      </c>
      <c r="M124" s="82">
        <f>(F124/E124)*100%</f>
        <v>1.3359348051858602</v>
      </c>
    </row>
    <row r="125" spans="1:13" s="281" customFormat="1" ht="42" customHeight="1">
      <c r="A125" s="312" t="s">
        <v>31</v>
      </c>
      <c r="B125" s="297" t="s">
        <v>475</v>
      </c>
      <c r="C125" s="300"/>
      <c r="D125" s="384">
        <v>426853000000</v>
      </c>
      <c r="E125" s="384">
        <f>D125</f>
        <v>426853000000</v>
      </c>
      <c r="F125" s="384">
        <f aca="true" t="shared" si="37" ref="F125:F130">+G125+H125</f>
        <v>570247779398</v>
      </c>
      <c r="G125" s="384">
        <v>0</v>
      </c>
      <c r="H125" s="384">
        <f aca="true" t="shared" si="38" ref="H125:H130">+I125+J125+K125</f>
        <v>570247779398</v>
      </c>
      <c r="I125" s="384">
        <v>0</v>
      </c>
      <c r="J125" s="384">
        <v>426853000000</v>
      </c>
      <c r="K125" s="384">
        <v>143394779398</v>
      </c>
      <c r="L125" s="314"/>
      <c r="M125" s="82"/>
    </row>
    <row r="126" spans="1:13" s="281" customFormat="1" ht="42" customHeight="1">
      <c r="A126" s="312" t="s">
        <v>31</v>
      </c>
      <c r="B126" s="297" t="s">
        <v>476</v>
      </c>
      <c r="C126" s="298">
        <v>140145195173</v>
      </c>
      <c r="D126" s="394"/>
      <c r="E126" s="394"/>
      <c r="F126" s="384">
        <f t="shared" si="37"/>
        <v>0</v>
      </c>
      <c r="G126" s="384">
        <v>0</v>
      </c>
      <c r="H126" s="384">
        <f t="shared" si="38"/>
        <v>0</v>
      </c>
      <c r="I126" s="384">
        <v>0</v>
      </c>
      <c r="J126" s="384"/>
      <c r="K126" s="384"/>
      <c r="L126" s="314">
        <f>(F126/D125)*100%</f>
        <v>0</v>
      </c>
      <c r="M126" s="82">
        <f>(F126/E125)*100%</f>
        <v>0</v>
      </c>
    </row>
    <row r="127" spans="1:13" s="288" customFormat="1" ht="25.5" customHeight="1">
      <c r="A127" s="311" t="s">
        <v>14</v>
      </c>
      <c r="B127" s="295" t="s">
        <v>187</v>
      </c>
      <c r="C127" s="315">
        <v>90797000</v>
      </c>
      <c r="D127" s="384"/>
      <c r="E127" s="384"/>
      <c r="F127" s="381">
        <f t="shared" si="37"/>
        <v>9328866497</v>
      </c>
      <c r="G127" s="381">
        <v>0</v>
      </c>
      <c r="H127" s="381">
        <f t="shared" si="38"/>
        <v>9328866497</v>
      </c>
      <c r="I127" s="381">
        <v>9328866497</v>
      </c>
      <c r="J127" s="381">
        <v>0</v>
      </c>
      <c r="K127" s="381">
        <v>0</v>
      </c>
      <c r="L127" s="314"/>
      <c r="M127" s="82"/>
    </row>
    <row r="128" spans="1:13" s="288" customFormat="1" ht="25.5" customHeight="1">
      <c r="A128" s="311" t="s">
        <v>17</v>
      </c>
      <c r="B128" s="295" t="s">
        <v>477</v>
      </c>
      <c r="C128" s="315">
        <v>0</v>
      </c>
      <c r="D128" s="395"/>
      <c r="E128" s="395"/>
      <c r="F128" s="396">
        <f t="shared" si="37"/>
        <v>0</v>
      </c>
      <c r="G128" s="397">
        <v>0</v>
      </c>
      <c r="H128" s="397">
        <f t="shared" si="38"/>
        <v>0</v>
      </c>
      <c r="I128" s="397">
        <v>0</v>
      </c>
      <c r="J128" s="397">
        <v>0</v>
      </c>
      <c r="K128" s="397">
        <v>0</v>
      </c>
      <c r="L128" s="82"/>
      <c r="M128" s="82"/>
    </row>
    <row r="129" spans="1:13" s="288" customFormat="1" ht="25.5" customHeight="1">
      <c r="A129" s="311" t="s">
        <v>111</v>
      </c>
      <c r="B129" s="295" t="s">
        <v>478</v>
      </c>
      <c r="C129" s="315">
        <f>70065713757</f>
        <v>70065713757</v>
      </c>
      <c r="D129" s="386"/>
      <c r="E129" s="383">
        <v>150737420546</v>
      </c>
      <c r="F129" s="382">
        <f t="shared" si="37"/>
        <v>150737420546</v>
      </c>
      <c r="G129" s="383">
        <v>0</v>
      </c>
      <c r="H129" s="383">
        <f t="shared" si="38"/>
        <v>150737420546</v>
      </c>
      <c r="I129" s="383">
        <v>0</v>
      </c>
      <c r="J129" s="383">
        <v>125510552770</v>
      </c>
      <c r="K129" s="383">
        <v>25226867776</v>
      </c>
      <c r="L129" s="82"/>
      <c r="M129" s="82">
        <f>(F129/E129)*100%</f>
        <v>1</v>
      </c>
    </row>
    <row r="130" spans="1:13" s="288" customFormat="1" ht="25.5" customHeight="1">
      <c r="A130" s="311" t="s">
        <v>479</v>
      </c>
      <c r="B130" s="295" t="s">
        <v>480</v>
      </c>
      <c r="C130" s="315">
        <f>47531907021</f>
        <v>47531907021</v>
      </c>
      <c r="D130" s="398"/>
      <c r="E130" s="399">
        <v>114265779155</v>
      </c>
      <c r="F130" s="400">
        <f t="shared" si="37"/>
        <v>114265779155</v>
      </c>
      <c r="G130" s="399">
        <v>0</v>
      </c>
      <c r="H130" s="399">
        <f t="shared" si="38"/>
        <v>114265779155</v>
      </c>
      <c r="I130" s="399">
        <v>0</v>
      </c>
      <c r="J130" s="399">
        <v>110967492590</v>
      </c>
      <c r="K130" s="399">
        <v>3298286565</v>
      </c>
      <c r="L130" s="316"/>
      <c r="M130" s="82">
        <f>(F130/E130)*100%</f>
        <v>1</v>
      </c>
    </row>
  </sheetData>
  <sheetProtection/>
  <mergeCells count="20">
    <mergeCell ref="A4:M4"/>
    <mergeCell ref="A5:M5"/>
    <mergeCell ref="A3:M3"/>
    <mergeCell ref="G7:K7"/>
    <mergeCell ref="L7:M7"/>
    <mergeCell ref="D8:D9"/>
    <mergeCell ref="E8:E9"/>
    <mergeCell ref="G8:G9"/>
    <mergeCell ref="H8:H9"/>
    <mergeCell ref="I8:K8"/>
    <mergeCell ref="L8:L9"/>
    <mergeCell ref="M8:M9"/>
    <mergeCell ref="A1:B1"/>
    <mergeCell ref="K1:M1"/>
    <mergeCell ref="A2:B2"/>
    <mergeCell ref="A7:A9"/>
    <mergeCell ref="B7:B9"/>
    <mergeCell ref="C7:C9"/>
    <mergeCell ref="D7:E7"/>
    <mergeCell ref="F7:F9"/>
  </mergeCells>
  <printOptions/>
  <pageMargins left="0.3937007874015748" right="0.3937007874015748" top="0.5905511811023623" bottom="0.5905511811023623" header="0.31496062992125984" footer="0.31496062992125984"/>
  <pageSetup horizontalDpi="600" verticalDpi="600" orientation="landscape" paperSize="9" scale="80" r:id="rId1"/>
  <headerFooter>
    <oddHeader>&amp;CPage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2022-08-05T07:35:43Z</cp:lastPrinted>
  <dcterms:created xsi:type="dcterms:W3CDTF">2017-08-19T02:32:04Z</dcterms:created>
  <dcterms:modified xsi:type="dcterms:W3CDTF">2022-08-09T00:32:46Z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QY5UZ4ZQWDMN-2102554853-1590</vt:lpwstr>
  </property>
  <property fmtid="{D5CDD505-2E9C-101B-9397-08002B2CF9AE}" pid="4" name="_dlc_DocIdItemGu">
    <vt:lpwstr>68f9271e-6b23-4744-8a44-ed910a48f4f1</vt:lpwstr>
  </property>
  <property fmtid="{D5CDD505-2E9C-101B-9397-08002B2CF9AE}" pid="5" name="_dlc_DocIdU">
    <vt:lpwstr>http://testweb.dongnai.gov.vn:8835/_layouts/15/DocIdRedir.aspx?ID=QY5UZ4ZQWDMN-2102554853-1590, QY5UZ4ZQWDMN-2102554853-1590</vt:lpwstr>
  </property>
</Properties>
</file>