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0" windowWidth="15300" windowHeight="5625" tabRatio="892" activeTab="13"/>
  </bookViews>
  <sheets>
    <sheet name="PL 01 (THU)" sheetId="1" r:id="rId1"/>
    <sheet name="PL02" sheetId="2" r:id="rId2"/>
    <sheet name="PL 03" sheetId="3" r:id="rId3"/>
    <sheet name="QLNN" sheetId="4" r:id="rId4"/>
    <sheet name="DVI SN" sheetId="5" r:id="rId5"/>
    <sheet name="SN GIAODUC" sheetId="6" r:id="rId6"/>
    <sheet name="PL 05" sheetId="7" r:id="rId7"/>
    <sheet name="PL06" sheetId="8" r:id="rId8"/>
    <sheet name="PL07" sheetId="9" r:id="rId9"/>
    <sheet name="CD THU-CHI XA" sheetId="10" r:id="rId10"/>
    <sheet name="ATGT" sheetId="11" r:id="rId11"/>
    <sheet name="DAC THU" sheetId="12" r:id="rId12"/>
    <sheet name="thu HP" sheetId="13" r:id="rId13"/>
    <sheet name="THU DV" sheetId="14" r:id="rId14"/>
  </sheets>
  <externalReferences>
    <externalReference r:id="rId17"/>
  </externalReferences>
  <definedNames>
    <definedName name="_xlnm.Print_Titles" localSheetId="10">'ATGT'!$11:$11</definedName>
    <definedName name="_xlnm.Print_Titles" localSheetId="11">'DAC THU'!$8:$8</definedName>
    <definedName name="_xlnm.Print_Titles" localSheetId="4">'DVI SN'!$7:$12</definedName>
    <definedName name="_xlnm.Print_Titles" localSheetId="0">'PL 01 (THU)'!$8:$9</definedName>
    <definedName name="_xlnm.Print_Titles" localSheetId="2">'PL 03'!$8:$8</definedName>
    <definedName name="_xlnm.Print_Titles" localSheetId="6">'PL 05'!$8:$10</definedName>
    <definedName name="_xlnm.Print_Titles" localSheetId="1">'PL02'!$8:$8</definedName>
    <definedName name="_xlnm.Print_Titles" localSheetId="7">'PL06'!$8:$10</definedName>
    <definedName name="_xlnm.Print_Titles" localSheetId="3">'QLNN'!$10:$13</definedName>
    <definedName name="_xlnm.Print_Titles" localSheetId="5">'SN GIAODUC'!$7:$12</definedName>
    <definedName name="_xlnm.Print_Titles" localSheetId="13">'THU DV'!$8:$9</definedName>
    <definedName name="_xlnm.Print_Titles" localSheetId="12">'thu HP'!$8:$9</definedName>
  </definedNames>
  <calcPr fullCalcOnLoad="1"/>
</workbook>
</file>

<file path=xl/comments1.xml><?xml version="1.0" encoding="utf-8"?>
<comments xmlns="http://schemas.openxmlformats.org/spreadsheetml/2006/main">
  <authors>
    <author>USER-PC</author>
  </authors>
  <commentList>
    <comment ref="B32" authorId="0">
      <text>
        <r>
          <rPr>
            <b/>
            <sz val="8"/>
            <rFont val="Tahoma"/>
            <family val="2"/>
          </rPr>
          <t xml:space="preserve">USER-PC:
Đúng: Tổng thu Ngân sách trên địa bàn 
</t>
        </r>
      </text>
    </comment>
  </commentList>
</comments>
</file>

<file path=xl/comments3.xml><?xml version="1.0" encoding="utf-8"?>
<comments xmlns="http://schemas.openxmlformats.org/spreadsheetml/2006/main">
  <authors>
    <author>user</author>
  </authors>
  <commentList>
    <comment ref="C105" authorId="0">
      <text>
        <r>
          <rPr>
            <b/>
            <sz val="9"/>
            <rFont val="Tahoma"/>
            <family val="2"/>
          </rPr>
          <t>t</t>
        </r>
        <r>
          <rPr>
            <sz val="12"/>
            <rFont val="Tahoma"/>
            <family val="2"/>
          </rPr>
          <t>ổng : 2264 trđ; giao ve xa 118 trđ= còn lai NSTP 2.146 trđ</t>
        </r>
      </text>
    </comment>
    <comment ref="B114" authorId="0">
      <text>
        <r>
          <rPr>
            <sz val="8"/>
            <rFont val="Tahoma"/>
            <family val="2"/>
          </rPr>
          <t>da phân bổ cho xa 116 triệu đồng. Không để trên cấp thành phố</t>
        </r>
      </text>
    </comment>
  </commentList>
</comments>
</file>

<file path=xl/comments4.xml><?xml version="1.0" encoding="utf-8"?>
<comments xmlns="http://schemas.openxmlformats.org/spreadsheetml/2006/main">
  <authors>
    <author>xuan an</author>
  </authors>
  <commentList>
    <comment ref="K61" authorId="0">
      <text>
        <r>
          <rPr>
            <b/>
            <sz val="9"/>
            <rFont val="Tahoma"/>
            <family val="2"/>
          </rPr>
          <t>xuan an:</t>
        </r>
        <r>
          <rPr>
            <sz val="9"/>
            <rFont val="Tahoma"/>
            <family val="2"/>
          </rPr>
          <t xml:space="preserve">
trang thông tin điện tử</t>
        </r>
      </text>
    </comment>
  </commentList>
</comments>
</file>

<file path=xl/comments5.xml><?xml version="1.0" encoding="utf-8"?>
<comments xmlns="http://schemas.openxmlformats.org/spreadsheetml/2006/main">
  <authors>
    <author>user</author>
    <author>xuan an</author>
    <author>admin</author>
  </authors>
  <commentList>
    <comment ref="Z19" authorId="0">
      <text>
        <r>
          <rPr>
            <b/>
            <sz val="9"/>
            <rFont val="Tahoma"/>
            <family val="2"/>
          </rPr>
          <t>user:</t>
        </r>
        <r>
          <rPr>
            <sz val="9"/>
            <rFont val="Tahoma"/>
            <family val="2"/>
          </rPr>
          <t xml:space="preserve">
thu học phí</t>
        </r>
      </text>
    </comment>
    <comment ref="AF19" authorId="0">
      <text>
        <r>
          <rPr>
            <b/>
            <sz val="9"/>
            <rFont val="Tahoma"/>
            <family val="2"/>
          </rPr>
          <t>user:</t>
        </r>
        <r>
          <rPr>
            <sz val="9"/>
            <rFont val="Tahoma"/>
            <family val="2"/>
          </rPr>
          <t xml:space="preserve">
thu chợ hoa: 240</t>
        </r>
      </text>
    </comment>
    <comment ref="W16" authorId="1">
      <text>
        <r>
          <rPr>
            <b/>
            <sz val="9"/>
            <rFont val="Tahoma"/>
            <family val="2"/>
          </rPr>
          <t>xuan an:</t>
        </r>
        <r>
          <rPr>
            <sz val="9"/>
            <rFont val="Tahoma"/>
            <family val="2"/>
          </rPr>
          <t xml:space="preserve">
trang thông tin điện tử
</t>
        </r>
      </text>
    </comment>
    <comment ref="U52" authorId="1">
      <text>
        <r>
          <rPr>
            <b/>
            <sz val="9"/>
            <rFont val="Tahoma"/>
            <family val="2"/>
          </rPr>
          <t>xuan an:</t>
        </r>
        <r>
          <rPr>
            <sz val="9"/>
            <rFont val="Tahoma"/>
            <family val="2"/>
          </rPr>
          <t xml:space="preserve">
lấy tổng sn KT tỉnh giao đầu chu kỳ - số đã phân bổ sn KT</t>
        </r>
      </text>
    </comment>
    <comment ref="C19" authorId="2">
      <text>
        <r>
          <rPr>
            <b/>
            <sz val="9"/>
            <rFont val="Tahoma"/>
            <family val="2"/>
          </rPr>
          <t>admin:</t>
        </r>
        <r>
          <rPr>
            <sz val="9"/>
            <rFont val="Tahoma"/>
            <family val="2"/>
          </rPr>
          <t xml:space="preserve">
giao luôn 4 người mới dc UBND TP tuyển dụng</t>
        </r>
      </text>
    </comment>
  </commentList>
</comments>
</file>

<file path=xl/sharedStrings.xml><?xml version="1.0" encoding="utf-8"?>
<sst xmlns="http://schemas.openxmlformats.org/spreadsheetml/2006/main" count="1248" uniqueCount="854">
  <si>
    <t>Cấp ủy viên là Thành ủy viên</t>
  </si>
  <si>
    <t>Văn phòng Thành ủy</t>
  </si>
  <si>
    <t xml:space="preserve"> - Hợp đồng 161</t>
  </si>
  <si>
    <t xml:space="preserve"> - CB-CC</t>
  </si>
  <si>
    <t>Trung tâm GDNN - GDTX</t>
  </si>
  <si>
    <t>NGUỒN THU CÂN ĐỐI (I+II)</t>
  </si>
  <si>
    <t>KHỐI ĐOÀN THỂ</t>
  </si>
  <si>
    <t xml:space="preserve">- Chi lương, hoạt động cho các cơ quan quản lý nhà nước </t>
  </si>
  <si>
    <t xml:space="preserve">- Chi lương, hoạt động cho các cơ quan Đảng </t>
  </si>
  <si>
    <t xml:space="preserve">- Chi lương, hoạt động cho các tổ chức chính trị-xã hội (Đoàn thể) </t>
  </si>
  <si>
    <t>- Chi lương, hoạt động cho hội đặc thù</t>
  </si>
  <si>
    <t>- Kinh phí hoạt động đặc thù  Đảng</t>
  </si>
  <si>
    <t>- Kinh phí hoạt động các Đảng bộ khối</t>
  </si>
  <si>
    <t>- Kinh phí hoạt động đặc thù của các khối Đoàn thể</t>
  </si>
  <si>
    <t>- Kinh phí hoạt động đặc thù các Hội đặc thù</t>
  </si>
  <si>
    <t>- Kinh phí phụ cấp và hoat động Hội đồng nhân dân</t>
  </si>
  <si>
    <t>- Kinh phí đặc thù tôn giáo</t>
  </si>
  <si>
    <t>- Kinh phí Khen Thưởng</t>
  </si>
  <si>
    <t>- Kinh phí hoạt động Kinh tế tập thể</t>
  </si>
  <si>
    <t>- Kinh phí hoạt động cấp giấy phép ĐKKD</t>
  </si>
  <si>
    <t>- Ban ATGT; tổ trật tự ATGT; Trang phục quần áo, nhiên liệu.</t>
  </si>
  <si>
    <t>- Công tác tuyên truyền, hỗ trợ thu phạt ATGT</t>
  </si>
  <si>
    <t>Chi XDCB từ nguồn sử dụng đất thành phố (60%)</t>
  </si>
  <si>
    <t>Chi XHH giao thông - điện (cấp xã)</t>
  </si>
  <si>
    <t xml:space="preserve"> - Phòng Tài nguyên và Môi trường</t>
  </si>
  <si>
    <t xml:space="preserve">Văn phòng Thành ủy </t>
  </si>
  <si>
    <t>Ủy ban Mặt trận tổ quốc Việt Nam thành phố</t>
  </si>
  <si>
    <t>Phường Bảo Vinh</t>
  </si>
  <si>
    <t>Phường Bàu sen</t>
  </si>
  <si>
    <t>Phường Suối Tre</t>
  </si>
  <si>
    <t>Phường Xuân Lập</t>
  </si>
  <si>
    <t>Phường Xuân Tân</t>
  </si>
  <si>
    <t>SỰ NGHIỆP VĂN HÓA, THÔNG TIN</t>
  </si>
  <si>
    <t>SỰ NGHIỆP PHÁT THANH</t>
  </si>
  <si>
    <t>Nguồn thu quản lý qua NS</t>
  </si>
  <si>
    <t>Phụ lục số 4b</t>
  </si>
  <si>
    <t>Phụ lục số 4c</t>
  </si>
  <si>
    <t xml:space="preserve">SỰ NGHIỆP MÔI TRƯỜNG  </t>
  </si>
  <si>
    <t>TỔNG CHI NGÂN SÁCH ĐỊA PHƯƠNG (A+B+C+D)</t>
  </si>
  <si>
    <t>Phụ cấp kiêm nhiệm các thành viên Ban ATGT 43 TV * 250.000đ/tháng * 12 tháng</t>
  </si>
  <si>
    <t>Lương các thành viên tổ TTATGT (18TV*1.500.000đ/tháng* 12 tháng)</t>
  </si>
  <si>
    <t>Phụ cấp trách nhiệm tổ trưởng (200.000đ *12 tháng)</t>
  </si>
  <si>
    <t>Phụ cấp trách nhiệm tổ phó (150.000đ * 12 tháng)</t>
  </si>
  <si>
    <t>Nguồn thu từ sử dụng đất</t>
  </si>
  <si>
    <t>Thu cân đối ngân sách thành phố</t>
  </si>
  <si>
    <t>_Kinh phí Đại hội Đảng Bộ thành phố</t>
  </si>
  <si>
    <t>_Kinh phí Đại hội Đảng Bộ khối Đảng</t>
  </si>
  <si>
    <t>Kinh phí Đại hội  Đảng Bộ</t>
  </si>
  <si>
    <t>_Kinh phí Đại hội Đảng Bộ Khối Vận</t>
  </si>
  <si>
    <t>_Kinh phí Đại hội Đảng Bộ Khối Văn hóa- Xã hội</t>
  </si>
  <si>
    <t>_Kinh phí Đại hội Đảng Bộ Khối Kinh Tế</t>
  </si>
  <si>
    <t>Trung tâm văn hóa -Thể Thao (hội hoa xuân)</t>
  </si>
  <si>
    <t>Trung tâm GD NN - GD thường xuyên (xe đạp)</t>
  </si>
  <si>
    <t>các trường THCS (phí xe đạp)</t>
  </si>
  <si>
    <t>Nhà văn hóa thiếu nhi (xe đạp)</t>
  </si>
  <si>
    <t>Nhà văn hóa thiếu nhi (cho thuê mặt bằng)</t>
  </si>
  <si>
    <t>Sự nghiệp phát thanh truyền hình: (dịch vụ)</t>
  </si>
  <si>
    <t>SỰ NGHIỆP VĂN HÓA</t>
  </si>
  <si>
    <t>4=(L+PC) x 1,49x12th</t>
  </si>
  <si>
    <t>5=3+4</t>
  </si>
  <si>
    <t xml:space="preserve"> Nguồn thu giữ xe đạp, dịch vụ được trích lại theo quy định</t>
  </si>
  <si>
    <t>1=2+3+4</t>
  </si>
  <si>
    <t>Giao dự toán tính tròn số</t>
  </si>
  <si>
    <t>Kinh phí hoạt động Chi Bộ Phòng Tư pháp (do không có Đảng bộ khối)</t>
  </si>
  <si>
    <t>+ Kinh phí hoạt động Chi Bộ Thanh tra thành phố (do không có Đảng bộ khối)</t>
  </si>
  <si>
    <t>Chi công tác đào tạo nghề nông thôn</t>
  </si>
  <si>
    <t>Chi đảm bảo cho hoạt động, lương Trung tâm dạy nghề - giáo dục thường xuyên</t>
  </si>
  <si>
    <t>3.1</t>
  </si>
  <si>
    <t>3.2</t>
  </si>
  <si>
    <t>3.3</t>
  </si>
  <si>
    <t xml:space="preserve">Số còn lại cân đối chi </t>
  </si>
  <si>
    <t xml:space="preserve"> nguồn thu được cân đối sử dụng</t>
  </si>
  <si>
    <t>TIẾT KIỆM</t>
  </si>
  <si>
    <t>DỰ TOÁN ĐÃ TRỪ TIẾT KIỆM</t>
  </si>
  <si>
    <t>KHỐI ĐẢNG</t>
  </si>
  <si>
    <t>CÁC TỔ CHỨC HỘI ĐẶC THÙ</t>
  </si>
  <si>
    <t>QUẢN LÝ NHÀ NƯỚC</t>
  </si>
  <si>
    <t>e</t>
  </si>
  <si>
    <t>h</t>
  </si>
  <si>
    <t>Phòng Dân Tộc</t>
  </si>
  <si>
    <t>Kinh phí hoạt động trang thông tin điện tử</t>
  </si>
  <si>
    <t>Chỉ tiêu</t>
  </si>
  <si>
    <t>Tỷ lệ điều tiết được hưởng</t>
  </si>
  <si>
    <t>Xuân An</t>
  </si>
  <si>
    <t>Xuân Bình</t>
  </si>
  <si>
    <t>Xuân Hòa</t>
  </si>
  <si>
    <t>Xuân Thanh</t>
  </si>
  <si>
    <t>Xuân Trung</t>
  </si>
  <si>
    <t>Phú Bình</t>
  </si>
  <si>
    <t>Bảo Quang</t>
  </si>
  <si>
    <t>Bảo Vinh</t>
  </si>
  <si>
    <t>Bàu Sen</t>
  </si>
  <si>
    <t>Bàu Trâm</t>
  </si>
  <si>
    <t>Bình Lộc</t>
  </si>
  <si>
    <t>Hàng Gòn</t>
  </si>
  <si>
    <t>Suối Tre</t>
  </si>
  <si>
    <t>Xuân Lập</t>
  </si>
  <si>
    <t>Xuân Tân</t>
  </si>
  <si>
    <t>TỔNG THU (I+II)</t>
  </si>
  <si>
    <t>-</t>
  </si>
  <si>
    <t>Thuế GTGT</t>
  </si>
  <si>
    <t>Tổng chi ngân sách</t>
  </si>
  <si>
    <t>Chi lương và hoạt động</t>
  </si>
  <si>
    <t>CÁC KHOẢN HUY ĐỘNG ĐÓNG GÓP</t>
  </si>
  <si>
    <t>Thu các khoản huy động đóng góp</t>
  </si>
  <si>
    <t>Chi các khoản huy động, đóng góp</t>
  </si>
  <si>
    <t>Phụ lục số 08</t>
  </si>
  <si>
    <t>Thuế tiêu thụ đặc biệt</t>
  </si>
  <si>
    <t>Thuế tài nguyên</t>
  </si>
  <si>
    <t>Thuế thu nhập cá nhân:</t>
  </si>
  <si>
    <t>Từ kinh doanh, tiền lương</t>
  </si>
  <si>
    <t>Từ chuyển quyền SDĐ</t>
  </si>
  <si>
    <t>Thuế chuyển quyền SDĐ</t>
  </si>
  <si>
    <t>Lệ phí trước bạ</t>
  </si>
  <si>
    <t>Thuế sử dụng đất PNN</t>
  </si>
  <si>
    <t>Bộ thuế sử dụng đất PNN</t>
  </si>
  <si>
    <t>Nợ thuế nhà đất+PNN</t>
  </si>
  <si>
    <t>Phí, lệ phí</t>
  </si>
  <si>
    <t>Phí môn bài</t>
  </si>
  <si>
    <t>Thu khác ngân sách</t>
  </si>
  <si>
    <t>Thu phạt ATGT</t>
  </si>
  <si>
    <t>Thu XHH Giao thông, Điện</t>
  </si>
  <si>
    <t xml:space="preserve">B </t>
  </si>
  <si>
    <t>CÂN ĐỐI THU CHI NGÂN SÁCH</t>
  </si>
  <si>
    <t>Các khoản thu hưởng 100%</t>
  </si>
  <si>
    <t>Tổng chi NS</t>
  </si>
  <si>
    <t xml:space="preserve">   ỦY BAN NHÂN DÂN </t>
  </si>
  <si>
    <t xml:space="preserve">         CỘNG HÒA XÃ HỘI CHỦ NGHĨA VIỆT NAM</t>
  </si>
  <si>
    <t xml:space="preserve">      Độc Lập - Tự Do - Hạnh Phúc</t>
  </si>
  <si>
    <t>Phụ lục số 07</t>
  </si>
  <si>
    <t>LCB</t>
  </si>
  <si>
    <t>Nội dung chi</t>
  </si>
  <si>
    <t>Quy định</t>
  </si>
  <si>
    <t>Định mức</t>
  </si>
  <si>
    <t>XUÂN AN</t>
  </si>
  <si>
    <t>XUÂN BÌNH</t>
  </si>
  <si>
    <t>XUÂN HÒA</t>
  </si>
  <si>
    <t>XUÂN THANH</t>
  </si>
  <si>
    <t>XUÂN TRUNG</t>
  </si>
  <si>
    <t>PHÚ BÌNH</t>
  </si>
  <si>
    <t>BẢO QUANG</t>
  </si>
  <si>
    <t>BÀU SEN</t>
  </si>
  <si>
    <t>BÀU TRÂM</t>
  </si>
  <si>
    <t>BÌNH LỘC</t>
  </si>
  <si>
    <t>HÀNG GÒN</t>
  </si>
  <si>
    <t>SUỐI TRE</t>
  </si>
  <si>
    <t>XUÂN LẬP</t>
  </si>
  <si>
    <t>XUÂN TÂN</t>
  </si>
  <si>
    <t>D</t>
  </si>
  <si>
    <t>1+2</t>
  </si>
  <si>
    <t>a+b</t>
  </si>
  <si>
    <t>KP hoạt động thường xuyên (đã trừ tiết kiệm)</t>
  </si>
  <si>
    <t xml:space="preserve">Dự phòng </t>
  </si>
  <si>
    <t>Độc lập - Tự Do - Hạnh phúc</t>
  </si>
  <si>
    <t>Đvt: triệu đồng</t>
  </si>
  <si>
    <t xml:space="preserve">ĐƠN VỊ </t>
  </si>
  <si>
    <t>I. Thuế ngoài quốc doanh</t>
  </si>
  <si>
    <t>II. Thuế thu nhập cá nhân</t>
  </si>
  <si>
    <t>III. Lệ phí trước bạ đất</t>
  </si>
  <si>
    <t>IV. Nợ thuế CQSDĐ</t>
  </si>
  <si>
    <t>V.Thuế sử dụng đất phi nông nghiệp</t>
  </si>
  <si>
    <t>VI. Thuế SD  ĐNN</t>
  </si>
  <si>
    <t>VII.   Thu  Phí Lệ phí</t>
  </si>
  <si>
    <t>VIII.  Thu khác NS (Thu phạt HC, thanh lý tài sản, hoa lợi công sản, …)</t>
  </si>
  <si>
    <t>Cộng lĩnh vực Thuế ngoài doanh</t>
  </si>
  <si>
    <t>Tổng số</t>
  </si>
  <si>
    <t>Phạt hành chính,…</t>
  </si>
  <si>
    <t>Thu hoa lợi công sản</t>
  </si>
  <si>
    <t>Thu các khoản huy động, đóng góp</t>
  </si>
  <si>
    <t>Cân đối thu, chi ngân sách</t>
  </si>
  <si>
    <t>Tổng thu</t>
  </si>
  <si>
    <t>Các khoản huy động, đóng góp</t>
  </si>
  <si>
    <t>Chi Ngân sách</t>
  </si>
  <si>
    <t>Chia ra</t>
  </si>
  <si>
    <t>Bộ thuế khoán GTGT</t>
  </si>
  <si>
    <t>thuế TTĐB</t>
  </si>
  <si>
    <t>thuế Tài nguyên</t>
  </si>
  <si>
    <t>Thuế TNDN</t>
  </si>
  <si>
    <t>Từ chuyển nhượng nhà, đất</t>
  </si>
  <si>
    <t>Cộng</t>
  </si>
  <si>
    <t>Thu khác NS</t>
  </si>
  <si>
    <t>Thu Bộ 2016</t>
  </si>
  <si>
    <t>Thu nợ thuế nhà đất+SDĐPNN</t>
  </si>
  <si>
    <t>Thu Bộ 2018</t>
  </si>
  <si>
    <t>Thu nợ thuế các năm</t>
  </si>
  <si>
    <t>Tổng thu cân đối được hưởng</t>
  </si>
  <si>
    <t>Phường Xuân An</t>
  </si>
  <si>
    <t>Phường Xuân Bình</t>
  </si>
  <si>
    <t>Phường Xuân Hoà</t>
  </si>
  <si>
    <t>Phường Xuân Thanh</t>
  </si>
  <si>
    <t>Phường Xuân Trung</t>
  </si>
  <si>
    <t>Phường Phú Bình</t>
  </si>
  <si>
    <t>Xã Bảo Quang</t>
  </si>
  <si>
    <t>Xã Bàu Trâm</t>
  </si>
  <si>
    <t>Xã Bình Lộc</t>
  </si>
  <si>
    <t>Xã Hàng Gòn</t>
  </si>
  <si>
    <t>Kinh phí hoạt động cấp giấy phép ĐKKD</t>
  </si>
  <si>
    <t>Phụ lục 06</t>
  </si>
  <si>
    <t>Thuế sử dụng đất nông nghiệp</t>
  </si>
  <si>
    <t>Chi quản lý hành chính</t>
  </si>
  <si>
    <t>Thu Ngân sách</t>
  </si>
  <si>
    <t>Thu từ nguồn xã hội hóa</t>
  </si>
  <si>
    <t xml:space="preserve">Số thu cân đối ngân sách </t>
  </si>
  <si>
    <t>Số thu NS hưởng 100%</t>
  </si>
  <si>
    <t>SỰ NGHIỆP KINH TẾ</t>
  </si>
  <si>
    <t>Chi SN Thể Thao</t>
  </si>
  <si>
    <t>xã</t>
  </si>
  <si>
    <t>*</t>
  </si>
  <si>
    <t>Ghi chú:</t>
  </si>
  <si>
    <t>ĐƠN VỊ</t>
  </si>
  <si>
    <t>Số tiền nộp NS</t>
  </si>
  <si>
    <t>Tổng số lớp</t>
  </si>
  <si>
    <t>Tổng số HS</t>
  </si>
  <si>
    <t>Mức thu
 học phí</t>
  </si>
  <si>
    <t>Số 
tháng</t>
  </si>
  <si>
    <t>60% chi 
hoạt động</t>
  </si>
  <si>
    <t>40% 
CCTL</t>
  </si>
  <si>
    <t>KHỐI MN</t>
  </si>
  <si>
    <t>Mầm non Bình Minh</t>
  </si>
  <si>
    <t>Mầm non An Bình</t>
  </si>
  <si>
    <t>Mầm non 19/5</t>
  </si>
  <si>
    <t>Mầm non Sen Hồng</t>
  </si>
  <si>
    <t xml:space="preserve">Mầm non An Lộc </t>
  </si>
  <si>
    <t>Mầm non Hoa Sen</t>
  </si>
  <si>
    <t xml:space="preserve">                      Trong cân đối</t>
  </si>
  <si>
    <t xml:space="preserve"> Chi hoạt động sự nghiệp</t>
  </si>
  <si>
    <t>trong đó: chi đầu tư từng lĩnh vực</t>
  </si>
  <si>
    <t>Kinh phí hỗ trợ theo Quyết định 65/QĐ-UBND</t>
  </si>
  <si>
    <t>CHI ĐẦU TƯ PHÁT TRIỂN</t>
  </si>
  <si>
    <t>CHI THƯỜNG XUYÊN</t>
  </si>
  <si>
    <t>CHI AN NINH - QUỐC PHÒNG</t>
  </si>
  <si>
    <t>CHI ĐẢM BẢO XÃ HỘI</t>
  </si>
  <si>
    <t>CHI QUẢN LÝ HÀNH CHÍNH</t>
  </si>
  <si>
    <t>TÊN ĐƠN VỊ</t>
  </si>
  <si>
    <t>SỐ TIỀN</t>
  </si>
  <si>
    <t>I.1</t>
  </si>
  <si>
    <t>I.2</t>
  </si>
  <si>
    <t>I.3</t>
  </si>
  <si>
    <t>Kinh phí tổ chức khám lọc và đưa đoàn đi phẫu thuật mắt tại Tp. Hồ Chí Minh; Tổ chức Lễ hội Xuân Hồng; Tổ chức Lễ hội Giọt máu hồng hè và hoạt động khác</t>
  </si>
  <si>
    <t>Kinh phí quét dọn chăm sóc cây xanh; điện chiếu sáng; lễ viếng đền thờ và hoạt động khác</t>
  </si>
  <si>
    <t>Chi SN Văn hóa và Thông tin</t>
  </si>
  <si>
    <t xml:space="preserve">Quốc phòng: </t>
  </si>
  <si>
    <t>Chi sự nghiệp giáo dục:</t>
  </si>
  <si>
    <t>Chi đầu tư từ nguồn vốn</t>
  </si>
  <si>
    <t>Nguồn thu từ hợp đồng quay phim</t>
  </si>
  <si>
    <t>CHI TỪ NGUỒN THU CÁC KHOẢN ĐÓNG GÓP, DỊCH VỤ</t>
  </si>
  <si>
    <t xml:space="preserve">  ỦY BAN NHÂN DÂN</t>
  </si>
  <si>
    <t>(Kèm theo Quyết định số      /QĐ-UBND ngày     /11/2014 của UBND thị xã)</t>
  </si>
  <si>
    <t>Trưởng ban, Phó ban ATGT 
(3 người x 1.000.000đ x 12 tháng)</t>
  </si>
  <si>
    <t>Trang phục quần áo cho tổ TTATGT 
(18TV*800.000/bộ (khoán 2 bộ quần áo + giày+vât dụng khác))</t>
  </si>
  <si>
    <t>Chi Nhiên liệu cho tổ TTATGT</t>
  </si>
  <si>
    <t>Chi sửa chữa thiết bị, phương tiện</t>
  </si>
  <si>
    <t>Chi khác (vật tư văn phòng)</t>
  </si>
  <si>
    <t xml:space="preserve">Chi in ấn tài liệu, biểu mẫu và công tác nghiệp vụ </t>
  </si>
  <si>
    <t>Chi cho công tác tuyên truyền</t>
  </si>
  <si>
    <t>Chi phụ cấp hàng tháng cho Chánh VP và cán bộ tổng hợp (5 người x 1.000.000đ x 12 tháng)</t>
  </si>
  <si>
    <t>Chi khác (tổ chức họp, hội nghị…)</t>
  </si>
  <si>
    <t>Kinh phí đảm bảo trật tự an toàn giao thông
6ng *1.000.000đ/th*12th</t>
  </si>
  <si>
    <t>Chi công tác tuyên truyền ATGT, hỗ trợ thu phạt trên địa bàn</t>
  </si>
  <si>
    <t>Chi công tác tuyên truyền về ATGT</t>
  </si>
  <si>
    <t>Chi hỗ trợ thu phạt trên địa bàn</t>
  </si>
  <si>
    <t xml:space="preserve">Kinh phí ATGT </t>
  </si>
  <si>
    <t>Chi ATGT:</t>
  </si>
  <si>
    <t>Hội chữ thập đỏ</t>
  </si>
  <si>
    <t>CỘNG (I+II+III+IV+V)</t>
  </si>
  <si>
    <t>ĐVT: Triệu đồng</t>
  </si>
  <si>
    <t>STT</t>
  </si>
  <si>
    <t>A</t>
  </si>
  <si>
    <t>I</t>
  </si>
  <si>
    <t>II</t>
  </si>
  <si>
    <t>III</t>
  </si>
  <si>
    <t>IV</t>
  </si>
  <si>
    <t>B</t>
  </si>
  <si>
    <t>Phụ lục số 1</t>
  </si>
  <si>
    <t>CHỈ TIÊU</t>
  </si>
  <si>
    <t>Tỷ lệ điều tiết</t>
  </si>
  <si>
    <t>Thu ngoài quốc doanh</t>
  </si>
  <si>
    <t>Thuế thu nhập cá nhân</t>
  </si>
  <si>
    <t>Thuế bảo vệ môi trường</t>
  </si>
  <si>
    <t>Thu phí, lệ phí</t>
  </si>
  <si>
    <t>Thu tiền sử dụng đất</t>
  </si>
  <si>
    <t>Bổ sung cân đối</t>
  </si>
  <si>
    <t>a</t>
  </si>
  <si>
    <t>b</t>
  </si>
  <si>
    <t>Bổ sung có mục tiêu (Nguồn XSKT)</t>
  </si>
  <si>
    <t>THU BỔ SUNG TỪ NGÂN SÁCH TỈNH</t>
  </si>
  <si>
    <t>THU TỪ TIỀN SỬ DỤNG ĐẤT (60%)</t>
  </si>
  <si>
    <t>Tỉnh giao</t>
  </si>
  <si>
    <t xml:space="preserve">Đơn vị </t>
  </si>
  <si>
    <t xml:space="preserve">Tổng kinh phí hoạt động thường xuyên   </t>
  </si>
  <si>
    <t>Tổng kinh phí chi lương và hoạt động</t>
  </si>
  <si>
    <t xml:space="preserve"> Tiết kiệm 10%  hoạt động  chi thường xuyên     
</t>
  </si>
  <si>
    <t>Tổng Dự toán sau khi trừ tiết kiệm</t>
  </si>
  <si>
    <t xml:space="preserve">Tổng dự toán (sau khi khấu trừ nguồn thu - tiết kiệm) </t>
  </si>
  <si>
    <t>Trong đó:</t>
  </si>
  <si>
    <t xml:space="preserve"> Nguồn thu Học phí đơn vị được sử dụng (60%) </t>
  </si>
  <si>
    <t>7=5-6</t>
  </si>
  <si>
    <t>TỔNG CỘNG</t>
  </si>
  <si>
    <t>KHỐI TIỂU HỌC</t>
  </si>
  <si>
    <t>C</t>
  </si>
  <si>
    <t>KHỐI THCS</t>
  </si>
  <si>
    <t>THCS Bảo Quang</t>
  </si>
  <si>
    <t>THCS Hàng Gòn</t>
  </si>
  <si>
    <t>THCS Hồ Thị Hương</t>
  </si>
  <si>
    <t>THCS Lê Quý Đôn</t>
  </si>
  <si>
    <t>THCS Ngô Quyền</t>
  </si>
  <si>
    <t>THCS Chu Văn An</t>
  </si>
  <si>
    <t>THCS Lê A</t>
  </si>
  <si>
    <t>THCS Xuân Lập</t>
  </si>
  <si>
    <t>THCS Nguyễn Trãi</t>
  </si>
  <si>
    <t>THCS Xuân Tân</t>
  </si>
  <si>
    <t xml:space="preserve"> Phụ lục số 3</t>
  </si>
  <si>
    <t>DIỄN GIẢI</t>
  </si>
  <si>
    <t>Dự toán 
chi sau khi trừ tiết kiệm</t>
  </si>
  <si>
    <t>Chi đầu tư phát triển</t>
  </si>
  <si>
    <t>Chi thường xuyên</t>
  </si>
  <si>
    <t>c</t>
  </si>
  <si>
    <t>d</t>
  </si>
  <si>
    <t xml:space="preserve">Kinh phí khoán theo biên chế </t>
  </si>
  <si>
    <t>Kinh phí không khoán</t>
  </si>
  <si>
    <t>Kinh phí phụ cấp và hoat động Hội đồng nhân dân</t>
  </si>
  <si>
    <t>Kinh phí đặc thù tôn giáo</t>
  </si>
  <si>
    <t>Kinh phí hoạt động Kinh tế tập thể</t>
  </si>
  <si>
    <t>Kinh phí đặc thù dân tộc, hỗ trợ Lễ Tết cho đồng bào dân tộc và ngày hội văn hóa - thể thao các dân tộc thiểu số</t>
  </si>
  <si>
    <t>- Chi đảm bảo xã hội</t>
  </si>
  <si>
    <t xml:space="preserve">- Chi đảm bảo Quốc phòng </t>
  </si>
  <si>
    <t>Chi khác</t>
  </si>
  <si>
    <t>CHI ĐẦU TƯ BẰNG NGUỒN KHÁC</t>
  </si>
  <si>
    <t xml:space="preserve">Chi sự nghiệp kinh tế </t>
  </si>
  <si>
    <t>Chi Quốc phòng</t>
  </si>
  <si>
    <t>Chi An ninh</t>
  </si>
  <si>
    <t xml:space="preserve">Chi khác ngân sách </t>
  </si>
  <si>
    <t>Phụ lục số 2</t>
  </si>
  <si>
    <t>Nội dung</t>
  </si>
  <si>
    <t>Dự toán chi tỉnh giao</t>
  </si>
  <si>
    <t>Chi sự nghiệp giáo dục - đào tạo</t>
  </si>
  <si>
    <t>Chi sự nghiệp y tế (Bảo hiểm y tế cho học sinh)</t>
  </si>
  <si>
    <t>Chi Quản lý hành chính</t>
  </si>
  <si>
    <t>Chi ngân sách xã, phường</t>
  </si>
  <si>
    <t>Tiết kiệm 10% chi thường xuyên</t>
  </si>
  <si>
    <t>V</t>
  </si>
  <si>
    <t>Dự phòng</t>
  </si>
  <si>
    <t>Chi XDCB từ nguồn xổ số kiến thiết</t>
  </si>
  <si>
    <t>THỊ XÃ LONG KHÁNH</t>
  </si>
  <si>
    <t xml:space="preserve"> </t>
  </si>
  <si>
    <t>Tên đơn vị</t>
  </si>
  <si>
    <t>Biên chế theo kế hoạch đầu năm (người)</t>
  </si>
  <si>
    <t xml:space="preserve"> Chi hoạt động thường xuyên</t>
  </si>
  <si>
    <t>Thực hiện tiết kiệm 10% chi thường xuyên</t>
  </si>
  <si>
    <t>Ghi chú</t>
  </si>
  <si>
    <t>Trong đó</t>
  </si>
  <si>
    <t>Phòng Tài chính - Kế hoạch</t>
  </si>
  <si>
    <t>Phòng Dân tộc</t>
  </si>
  <si>
    <t>Phòng Giáo dục và Đào tạo</t>
  </si>
  <si>
    <t>Phòng Quản lý đô thị</t>
  </si>
  <si>
    <t>Phòng Lao động - TB và XH</t>
  </si>
  <si>
    <t>Phòng Kinh tế</t>
  </si>
  <si>
    <t>Phòng Nội vụ</t>
  </si>
  <si>
    <t>Văn phòng HĐND và UBND</t>
  </si>
  <si>
    <t>Phòng Y tế</t>
  </si>
  <si>
    <t>Cơ quan Đảng</t>
  </si>
  <si>
    <t>TT Bồi dưỡng chính trị</t>
  </si>
  <si>
    <t>Đoàn thể, tổ chức chính trị</t>
  </si>
  <si>
    <t>UB Mặt trận tổ quốc</t>
  </si>
  <si>
    <t>Hội Phụ nữ</t>
  </si>
  <si>
    <t>Hội Nông dân</t>
  </si>
  <si>
    <t>Hội Cựu chiến binh</t>
  </si>
  <si>
    <t xml:space="preserve"> Các tổ chức hội đặc thù </t>
  </si>
  <si>
    <t>Hội nạn nhân chất độc da cam</t>
  </si>
  <si>
    <t>Hội người cao tuổi</t>
  </si>
  <si>
    <t>Hội người mù</t>
  </si>
  <si>
    <t>Hội chiến sỹ cách mạng bị địch bắt tù đày</t>
  </si>
  <si>
    <t>Hội Khuyến Học</t>
  </si>
  <si>
    <t>Hội thanh niên xung phong</t>
  </si>
  <si>
    <t xml:space="preserve">Hội Chữ thập đỏ      </t>
  </si>
  <si>
    <t>Quản lý nhà nước</t>
  </si>
  <si>
    <t>Văn phòng điều phối NTM</t>
  </si>
  <si>
    <t>Phòng Văn hoá - Thông Tin</t>
  </si>
  <si>
    <t>VI</t>
  </si>
  <si>
    <t>Sự nghiệp thủy lợi</t>
  </si>
  <si>
    <t>CỘNG HÒA XÃ HỘI CHỦ NGHĨA VIỆT NAM</t>
  </si>
  <si>
    <t>Phụ lục số 5</t>
  </si>
  <si>
    <t>Đảng bộ</t>
  </si>
  <si>
    <t>Số lượng đảng viên</t>
  </si>
  <si>
    <t>Số lượngCấp ủy viên</t>
  </si>
  <si>
    <t>Dự toán thu nội bộ</t>
  </si>
  <si>
    <t>Dự toán kinh phí được cấp chênh lệch</t>
  </si>
  <si>
    <t>10% tiết kiệm</t>
  </si>
  <si>
    <t>Dự toán giao đảng bộ cơ sở hoạt động</t>
  </si>
  <si>
    <t>Tổng cộng</t>
  </si>
  <si>
    <t xml:space="preserve">Đảng phí trích nộp của các CB </t>
  </si>
  <si>
    <t>Đảng phí trích nộp cấp trên 30%</t>
  </si>
  <si>
    <t>Thu khác</t>
  </si>
  <si>
    <t>Tổng chi</t>
  </si>
  <si>
    <t>Báo, tạp chí của Đảng của Cb trực thuộc</t>
  </si>
  <si>
    <t>Báo, tạp chí của Đảng bộ Khối</t>
  </si>
  <si>
    <t>Chi khác (tính theo số lượng đảng viên)</t>
  </si>
  <si>
    <t>Phụ cấp cấp ủy viên</t>
  </si>
  <si>
    <t xml:space="preserve">Chi hỗ trợ khác </t>
  </si>
  <si>
    <t>1</t>
  </si>
  <si>
    <t>2</t>
  </si>
  <si>
    <t>3</t>
  </si>
  <si>
    <t>4</t>
  </si>
  <si>
    <t>5</t>
  </si>
  <si>
    <t>6=7-8</t>
  </si>
  <si>
    <t>7</t>
  </si>
  <si>
    <t>8=7*30%</t>
  </si>
  <si>
    <t>9=10+…15</t>
  </si>
  <si>
    <t>16=9-6</t>
  </si>
  <si>
    <t>Tổng Cộng</t>
  </si>
  <si>
    <t>Kinh phí thường xuyên</t>
  </si>
  <si>
    <t>Tổng dự toán sau khi trừ tiết kiệm</t>
  </si>
  <si>
    <t>Kinh phí Đảng bộ khối</t>
  </si>
  <si>
    <t>6=3*10%</t>
  </si>
  <si>
    <t>NỘI DUNG</t>
  </si>
  <si>
    <t>Phụ lục số 09</t>
  </si>
  <si>
    <t>Phụ lục số 10</t>
  </si>
  <si>
    <t>Phụ lục số 11</t>
  </si>
  <si>
    <t>Phụ lục số 12</t>
  </si>
  <si>
    <t xml:space="preserve">CHI KHÁC NGÂN SÁCH </t>
  </si>
  <si>
    <t xml:space="preserve"> + Phòng Kinh Tế</t>
  </si>
  <si>
    <t xml:space="preserve"> +  Phòng Giáo dục - Đào tạo</t>
  </si>
  <si>
    <t>KHỐI GIÁO DỤC</t>
  </si>
  <si>
    <t>SN DẠY NGHỀ</t>
  </si>
  <si>
    <t>Đào tạo nghề nông thôn</t>
  </si>
  <si>
    <t>Phòng Kinh Tế</t>
  </si>
  <si>
    <t>Phòng Giáo dục - Đào tạo</t>
  </si>
  <si>
    <t>SN GIÁO DỤC</t>
  </si>
  <si>
    <t xml:space="preserve">Đơn vị nhận dự toán kinh phí </t>
  </si>
  <si>
    <t>17=(9-14)*10%</t>
  </si>
  <si>
    <t>18=(9-17)-6</t>
  </si>
  <si>
    <t>Đảng bộ cơ sở Khối Vận (UBMTTQVN)</t>
  </si>
  <si>
    <t>Đảng bộ khối văn hóa xã hội ( Phòng Nội vụ)</t>
  </si>
  <si>
    <t>Thuế sử dụng đất phi nông nghiệp - Thuế nhà đất</t>
  </si>
  <si>
    <t>CHI CÂN ĐỐI NGÂN SÁCH (I+II+III)</t>
  </si>
  <si>
    <t xml:space="preserve">      Trong đó chi đầu tư từng lĩnh vực:</t>
  </si>
  <si>
    <t>Phụ lục số 4a</t>
  </si>
  <si>
    <t>Dự toán chi hoạt động (Theo QĐ 99 ngày 30/5/2012)</t>
  </si>
  <si>
    <t xml:space="preserve"> +Phụ cấp trách nhiệm cấp ủy</t>
  </si>
  <si>
    <t xml:space="preserve"> + Phụ cấp BP một cửa</t>
  </si>
  <si>
    <t xml:space="preserve"> + Phụ cấp ĐB. HĐND</t>
  </si>
  <si>
    <t>Phòng Tư  pháp</t>
  </si>
  <si>
    <t xml:space="preserve"> - CB-CC-BC </t>
  </si>
  <si>
    <t xml:space="preserve"> - Hợp đồng 68</t>
  </si>
  <si>
    <t>+ Đặc thù HĐND+UBND</t>
  </si>
  <si>
    <t>Đảng bộ cơ sở khối Đảng    ( VP. Thành ủy)</t>
  </si>
  <si>
    <t>Đảng bộ khối Kinh Tế (UBND thành phố)</t>
  </si>
  <si>
    <t>Bổ sung từ nguồn cải cách tiền lương của tỉnh</t>
  </si>
  <si>
    <t>Thành phố</t>
  </si>
  <si>
    <t>xã phường</t>
  </si>
  <si>
    <t xml:space="preserve">NỘI DUNG </t>
  </si>
  <si>
    <t>MỨC CŨ</t>
  </si>
  <si>
    <t>Dự toán lương, phụ cấp</t>
  </si>
  <si>
    <t>LƯƠNG THEO NGẠCH BẬC, CHỨC VỤ</t>
  </si>
  <si>
    <t>TỔNG CÁC KHOẢN PHỤ CẤP (1)</t>
  </si>
  <si>
    <t>CÁC KHOẢN ĐÓNG GÓP BHXH, BHYT, KPCĐ</t>
  </si>
  <si>
    <t>PHỤ CẤP CHỨC VỤ</t>
  </si>
  <si>
    <t>PHỤ CẤP TRÁCH NHIỆM</t>
  </si>
  <si>
    <t>PHỤ CẤP THÂM NIÊN VƯỢT KHUNG</t>
  </si>
  <si>
    <t>PHỤ CẤP ƯU ĐÃI NGÀNH</t>
  </si>
  <si>
    <t>PHỤ CẤP THU HÚT</t>
  </si>
  <si>
    <t>PHỤ CẤP CÔNG TÁC LÂU NĂM</t>
  </si>
  <si>
    <t>PHỤ CẤP CÔNG VỤ</t>
  </si>
  <si>
    <t>PHỤ CẤP CÔNG TÁC ĐẢNG</t>
  </si>
  <si>
    <t>PHỤ CẤP THÂM NIÊN NGHỀ</t>
  </si>
  <si>
    <t>PHỤ CẤP KHÁC</t>
  </si>
  <si>
    <t>5=(6+7+19)*1,49 (1tháng)</t>
  </si>
  <si>
    <t>6 = Hệ số lương</t>
  </si>
  <si>
    <t>7=(8+…+18)</t>
  </si>
  <si>
    <t>Công chức, Viên chức</t>
  </si>
  <si>
    <t>Viên chức</t>
  </si>
  <si>
    <t>Sự nghiệp Nông nghiệp</t>
  </si>
  <si>
    <t xml:space="preserve">    - Hợp đồng (nhân viên giữ đập)</t>
  </si>
  <si>
    <t>Sự nghiệp công thương</t>
  </si>
  <si>
    <t>Sự nghiệp Kiến thiết thị chính</t>
  </si>
  <si>
    <t>Sự nghiệp địa chính</t>
  </si>
  <si>
    <t>Sự nghiệp khoa học và công nghệ</t>
  </si>
  <si>
    <t>SN ĐẢM BẢO XÃ HỘI</t>
  </si>
  <si>
    <t xml:space="preserve"> - Các đối tượng chính sách ĐBXH</t>
  </si>
  <si>
    <t>CHI AN NINH</t>
  </si>
  <si>
    <t>VII</t>
  </si>
  <si>
    <t>CHI QUỐC PHÒNG</t>
  </si>
  <si>
    <t>Công tác quốc phòng khác trên địa bàn</t>
  </si>
  <si>
    <t>VIII</t>
  </si>
  <si>
    <t>CHI KHÁC NS</t>
  </si>
  <si>
    <t xml:space="preserve"> Kinh phí hoạt động thường xuyên</t>
  </si>
  <si>
    <t>Các hội thi và trang bị sách</t>
  </si>
  <si>
    <t>Chi thăm hỏi, hỗ trợ nạn nhân tai nạn ATGT</t>
  </si>
  <si>
    <t>Chi khác (vật tư văn phòng, công cụ hỗ trợ…..)</t>
  </si>
  <si>
    <t>Kinh phí chi trả Phụ cấp ưu đãi Giáo viên dạy trẻ Khuyết tật</t>
  </si>
  <si>
    <t>ĐMHĐ 1 biên chế</t>
  </si>
  <si>
    <t>9=5+6+7+8</t>
  </si>
  <si>
    <t>11=9-10</t>
  </si>
  <si>
    <t>12=13+14</t>
  </si>
  <si>
    <t>KHỐI ĐÀO TẠO</t>
  </si>
  <si>
    <t>Thu bổ sung ngân sách thành phố trong Cân đối</t>
  </si>
  <si>
    <t xml:space="preserve">CHI CÂN ĐỐI NGÂN SÁCH CẤP XÃ </t>
  </si>
  <si>
    <t xml:space="preserve"> Dự phòng ngân sách thành phố</t>
  </si>
  <si>
    <t xml:space="preserve"> Dự phòng ngân sách cấp xã</t>
  </si>
  <si>
    <t>Dự toán tỉnh Giao</t>
  </si>
  <si>
    <t>SỰ NGHIỆP MÔI TRƯỜNG</t>
  </si>
  <si>
    <t>f</t>
  </si>
  <si>
    <t>Công an thành phố</t>
  </si>
  <si>
    <t>Ngân hàng NN &amp; PTNT thành phố</t>
  </si>
  <si>
    <t>Chi cho các hoạt động khác thành phố</t>
  </si>
  <si>
    <t>10=5+6+7+8+9</t>
  </si>
  <si>
    <t>Chi ATGT thành phố</t>
  </si>
  <si>
    <t>Chi khác NSTP</t>
  </si>
  <si>
    <t>I.4</t>
  </si>
  <si>
    <t>Kinh phí hoạt động đặc thù và kinh phí khác</t>
  </si>
  <si>
    <t>Thực hiện tiết kiệm (đặc thù và và kinh phí khác)</t>
  </si>
  <si>
    <t>Dự toán hoạt động đặc thù và  khác  sau khi trừ tiết kiệm</t>
  </si>
  <si>
    <t xml:space="preserve"> Chi Đại hội Đảng bộ</t>
  </si>
  <si>
    <t>12=7+12</t>
  </si>
  <si>
    <t>12=(8+9+10-11)</t>
  </si>
  <si>
    <t xml:space="preserve">Nguồn thu cân đối được sử dụng </t>
  </si>
  <si>
    <t>Tổng dự toán giao chi (từ nguồn thu học phí)</t>
  </si>
  <si>
    <t>NGUỒN THU SN KHÁC</t>
  </si>
  <si>
    <t>Nguồn thu quản lý NS</t>
  </si>
  <si>
    <t>THU TỪ NGUỒN NS ĐỊA PHƯƠNG</t>
  </si>
  <si>
    <t>Chi khác (SNGD)</t>
  </si>
  <si>
    <t>thành phố</t>
  </si>
  <si>
    <t>NGUỒN TĂNG THU (GIAO CAO HƠN DỰ TOÁN TỈNH GIAO)</t>
  </si>
  <si>
    <t>CHI ĐẦU TƯ PHÁT TRIỂN TỪ NGUỒN VỐN KHÁC (I+II)</t>
  </si>
  <si>
    <t>TỔNG THU NGÂN SÁCH ĐỊA PHƯƠNG (I+II+III)</t>
  </si>
  <si>
    <t>Thu khác thành phố</t>
  </si>
  <si>
    <t>Chi XDCB từ nguồn tiền sử dụng đất thành phố (60%)</t>
  </si>
  <si>
    <t>Thư viện thành phố (thẻ bạn đọc)</t>
  </si>
  <si>
    <t>Thanh tra thành phố</t>
  </si>
  <si>
    <t>Kinh phí hoạt động Chi Bộ Thanh tra thành phố (do không có Đảng bộ khối)</t>
  </si>
  <si>
    <t>Thu bổ sung cân đối từ NS thành phố</t>
  </si>
  <si>
    <t>Chi công tác khen thưởng thành phố</t>
  </si>
  <si>
    <t>Thành đoàn</t>
  </si>
  <si>
    <t>CHI  CÂN ĐỐI NS  (I+II+III)</t>
  </si>
  <si>
    <t>- Thuế TNDN</t>
  </si>
  <si>
    <t>- Thuế GTGT</t>
  </si>
  <si>
    <t>- Thuế tài nguyên</t>
  </si>
  <si>
    <t>-Thuế TTĐB</t>
  </si>
  <si>
    <t xml:space="preserve">                      Các khoản thu cân đối</t>
  </si>
  <si>
    <t>- Các khoản thu hưởng 100%</t>
  </si>
  <si>
    <t>- Các khoản thu phân chia theo tỷ lệ</t>
  </si>
  <si>
    <t>- Cải cách tiền lương ngân sách thành phố</t>
  </si>
  <si>
    <t>Chi đầu tư XDCB tập trung</t>
  </si>
  <si>
    <t>- Chi XDCB nguồn tập trung</t>
  </si>
  <si>
    <t xml:space="preserve">- Sự nghiệp thủy lợi: </t>
  </si>
  <si>
    <t>- Sự nghiệp công thương</t>
  </si>
  <si>
    <t>- Sự nghiệp kiến thiết thị chính:</t>
  </si>
  <si>
    <t>- Sự nghiệp địa chính:</t>
  </si>
  <si>
    <t>- Sự nghiệp ứng dụng KH-CN</t>
  </si>
  <si>
    <t>- Chi khác SNKT</t>
  </si>
  <si>
    <t>-  Phòng Tài nguyên và Môi trường</t>
  </si>
  <si>
    <t>SỰ NGHIỆP VĂN HÓA, THÔNG TIN VÀ THỂ DỤC THỂ THAO:</t>
  </si>
  <si>
    <t xml:space="preserve">- Chi lương </t>
  </si>
  <si>
    <t>Tổng Dự toán giao sau khi trừ nguồn thu được sử dụng và tiết kiệm</t>
  </si>
  <si>
    <t xml:space="preserve"> Nguồn thu Học phí đơn vị được sử dụng CCTL (40%) </t>
  </si>
  <si>
    <t>Tổng dự toán giao chi (từ nguồn thu  dịch vụ, xe đạp đạp)</t>
  </si>
  <si>
    <t>Phòng Tư Pháp</t>
  </si>
  <si>
    <t>Trung tâm Văn hóa, Thông tin và Thể thao</t>
  </si>
  <si>
    <t xml:space="preserve">Tổng dự toán giao chi </t>
  </si>
  <si>
    <t>11=7*10%</t>
  </si>
  <si>
    <t>Thực hiện tiết kiệm 10% chi hoạt động sự nghiệp</t>
  </si>
  <si>
    <t>Kinh phí hoạt động chung của Thành ủy và các Ban Đảng; Kinh phí phụ cấp Đảng Ủy viên, Chương trình 7</t>
  </si>
  <si>
    <t>Lương biên chế</t>
  </si>
  <si>
    <t>KHỐI MẦM NON</t>
  </si>
  <si>
    <t>Hội Cựu chiến binh khối vận</t>
  </si>
  <si>
    <t>THU CÂN ĐỐI NGÂN SÁCH ( I.1 + I.2)</t>
  </si>
  <si>
    <t>Thu nội địa (không tính tiền sử dụng đất)</t>
  </si>
  <si>
    <t>THU CÂN ĐỐI NS (tính bổ sung) (I.1+I.2+I.3+I.4)</t>
  </si>
  <si>
    <t>Chi sự nghiệp văn hóa</t>
  </si>
  <si>
    <t>Chi đầu tư khác</t>
  </si>
  <si>
    <t>Cho hỗ trợ các công trình XHH, SC các phường, xã và đơn vị</t>
  </si>
  <si>
    <t>NGUỒN TĂNG THU (GIAO CAO HƠN DỰ TOÁN TỈNH GIAO, CHƯA PHÂN BỔ CHI)</t>
  </si>
  <si>
    <t xml:space="preserve"> + SN NN (Phòng Kinh tế)</t>
  </si>
  <si>
    <t>-  Hoàn trả NS tỉnh</t>
  </si>
  <si>
    <t>Dự toán của các trường thuộc sự nghiệp giáo dục đảm bảo cho con người và chi hoạt động dạy học.</t>
  </si>
  <si>
    <t>+ Khối Kinh tế (VP.UBND-HĐND TP)</t>
  </si>
  <si>
    <t>+ Khối Văn hoá - Xã hội (P. Nội Vụ)</t>
  </si>
  <si>
    <t>+ Khối Đảng (VP. Thành ủy)</t>
  </si>
  <si>
    <t>+ Khối Dân Vận (UB.MTTQVN)</t>
  </si>
  <si>
    <t>Tổng thu Ngân sách NSNN</t>
  </si>
  <si>
    <t>Tổng Thu cân đối ngân sách</t>
  </si>
  <si>
    <t>TỔNG CỘNG (I+II)</t>
  </si>
  <si>
    <t>CÂN ĐỐI NGÂN SÁCH</t>
  </si>
  <si>
    <t>CHI XHH TỪ NGUỒN HUY ĐỘNG ĐÓNG GÓP</t>
  </si>
  <si>
    <t>Chi XHH từ nguồn huy động, đóng góp</t>
  </si>
  <si>
    <t>SN GIÁO DỤC- CÁC TRƯỜNG</t>
  </si>
  <si>
    <t>- Hoạt động sự nghiệp và các hội thi (đặc thù)</t>
  </si>
  <si>
    <t xml:space="preserve"> + SN NN (Trung Tâm.DVNN)</t>
  </si>
  <si>
    <t xml:space="preserve"> + Lương CB VC, nhân viên giữ đập; hoạt động</t>
  </si>
  <si>
    <t xml:space="preserve"> + SN Thủy lợi</t>
  </si>
  <si>
    <t>Trung Tâm DVNNo</t>
  </si>
  <si>
    <t xml:space="preserve">  - Phòng Kinh tế</t>
  </si>
  <si>
    <t xml:space="preserve">  - Phòng Quản lý đô thị</t>
  </si>
  <si>
    <t xml:space="preserve">  - Phòng Tài nguyên và Môi trường</t>
  </si>
  <si>
    <t>NGÂN SÁCH THÀNH PHỐ</t>
  </si>
  <si>
    <t>NGÂN SÁCH PHƯỜNG, XÃ</t>
  </si>
  <si>
    <t xml:space="preserve">Nguồn thu từ sử dụng đất </t>
  </si>
  <si>
    <t xml:space="preserve">NGUỒN GIAO DT TĂNG THU (GIAO CAO HƠN DỰ TOÁN TỈNH GIAO) </t>
  </si>
  <si>
    <t>TĂNG DIEU TIET</t>
  </si>
  <si>
    <t>Lệ phí thẩm định báo cáo kinh tế kỹ thuật</t>
  </si>
  <si>
    <t>Chi phí Ban quản lý dự án</t>
  </si>
  <si>
    <t>Phòng Tài nguyên và Môi trường</t>
  </si>
  <si>
    <t>Phí bảo vệ môi trường nước thải</t>
  </si>
  <si>
    <t xml:space="preserve"> + Nguồn phí giữ xe đạp</t>
  </si>
  <si>
    <t xml:space="preserve"> - các cơ quan, đơn vị </t>
  </si>
  <si>
    <t xml:space="preserve"> + UBMTTQVN </t>
  </si>
  <si>
    <t xml:space="preserve"> + Phòng Giáo dục</t>
  </si>
  <si>
    <t xml:space="preserve"> + Thành đoàn</t>
  </si>
  <si>
    <t xml:space="preserve"> + Ngân hàng NN &amp; PTNT thành phố</t>
  </si>
  <si>
    <t>Tiết kiệm 10%</t>
  </si>
  <si>
    <t>Chi thường xuyên (đã trừ tiết kiệm), Trong đó:</t>
  </si>
  <si>
    <t xml:space="preserve"> - Phòng Văn hóa và Thông tin</t>
  </si>
  <si>
    <t xml:space="preserve"> + Chi lương </t>
  </si>
  <si>
    <t xml:space="preserve"> + Chi hoạt động </t>
  </si>
  <si>
    <t>Các hoạt động đặc thù SNVH</t>
  </si>
  <si>
    <t>- Chi đặc thù hoạt động SN văn hóa</t>
  </si>
  <si>
    <t>TỔNG THU NGÂN SÁCH NHÀ NƯỚC TRÊN ĐỊA BÀN (I+II+III+IV)</t>
  </si>
  <si>
    <t>THU TỪ NGUỒN THU CÁC KHOẢN ĐÓNG GÓP, DỊCH VỤ</t>
  </si>
  <si>
    <t>HĐND thành phố giao</t>
  </si>
  <si>
    <t>Dự toán chi HĐND TP giao</t>
  </si>
  <si>
    <t>Phương án  thu trong năm</t>
  </si>
  <si>
    <t xml:space="preserve">Dự toán HĐND thành phố phân bổ chi </t>
  </si>
  <si>
    <t>Tiết kiệm chi thường xuyên giữ lại NS thành phố</t>
  </si>
  <si>
    <t>- Thu XHH giao thông - điện (cấp xã)</t>
  </si>
  <si>
    <t>Chi sự nghiệp khác</t>
  </si>
  <si>
    <t>3.4</t>
  </si>
  <si>
    <t>3.5</t>
  </si>
  <si>
    <t>3.6</t>
  </si>
  <si>
    <t>3.7</t>
  </si>
  <si>
    <t>3.8</t>
  </si>
  <si>
    <t>3.9</t>
  </si>
  <si>
    <t>3.10</t>
  </si>
  <si>
    <t>3.11</t>
  </si>
  <si>
    <t>Chi sự nghiệp Môi trường</t>
  </si>
  <si>
    <t>Chi sự nghiệp Giáo dục - đào tạo</t>
  </si>
  <si>
    <t>Chi SN Phát thanh</t>
  </si>
  <si>
    <t>Chi Đảm bảo xã hội</t>
  </si>
  <si>
    <t>3.12</t>
  </si>
  <si>
    <t>2.1</t>
  </si>
  <si>
    <t>2.2</t>
  </si>
  <si>
    <t>2.3</t>
  </si>
  <si>
    <t>SỰ NGHIỆP KHÁC</t>
  </si>
  <si>
    <t>- Sự nghiệp Nông nghiệp</t>
  </si>
  <si>
    <t>3.2.1</t>
  </si>
  <si>
    <t>SỰ NGHIỆP KINH TẾ:</t>
  </si>
  <si>
    <t xml:space="preserve"> - Trung tâm Văn hóa, Thông tin và Thể thao</t>
  </si>
  <si>
    <t>3.2.2</t>
  </si>
  <si>
    <t>3.2.3</t>
  </si>
  <si>
    <t>3.4.1</t>
  </si>
  <si>
    <t>3.4.2</t>
  </si>
  <si>
    <t>3.4.3</t>
  </si>
  <si>
    <t>+ Kinh phí hoạt động Chi Bộ Phòng Tư pháp thành phố (do không có Đảng bộ khối)</t>
  </si>
  <si>
    <t>ĐM: 65tr</t>
  </si>
  <si>
    <t>3=(2x70); (2x65) ; (2 x 25)</t>
  </si>
  <si>
    <t>ĐM: 70tr</t>
  </si>
  <si>
    <t>Kinh phí hoạt động tuyên truyền pháp luật và kiểm tra văn bản pháp luật</t>
  </si>
  <si>
    <t xml:space="preserve"> + Phụ cấp tiếp công dân</t>
  </si>
  <si>
    <t>Hội cựu chiến binh</t>
  </si>
  <si>
    <t>NHIỆM VỤ THU (không tính tiền SDĐ)</t>
  </si>
  <si>
    <t>ĐM: 25tr</t>
  </si>
  <si>
    <t>Chi in ấn tài liệu phục vụ công tác tuyên truyền luật ATGT và công tác nghiệp vụ khác</t>
  </si>
  <si>
    <t>Kinh phí đảm bảo trật tự an toàn giao thông
6 người x 1.000.000 đồng/tháng/người x 12 tháng</t>
  </si>
  <si>
    <r>
      <t>Trung tâm Văn hóa, Thông tin và Thể thao</t>
    </r>
    <r>
      <rPr>
        <sz val="13"/>
        <rFont val="Times New Roman"/>
        <family val="1"/>
      </rPr>
      <t xml:space="preserve"> (</t>
    </r>
    <r>
      <rPr>
        <i/>
        <sz val="13"/>
        <rFont val="Times New Roman"/>
        <family val="1"/>
      </rPr>
      <t>Trong đó: SN Truyền thanh 15 trđ</t>
    </r>
    <r>
      <rPr>
        <sz val="13"/>
        <rFont val="Times New Roman"/>
        <family val="1"/>
      </rPr>
      <t>)</t>
    </r>
  </si>
  <si>
    <t>SỰ NGHIỆP VĂN HÓA - THỂ THAO</t>
  </si>
  <si>
    <t>Kinh phí quét dọn chăm sóc tại Nghĩa trang liệt sỹ</t>
  </si>
  <si>
    <t>TỔNG CỘNG (A+B)</t>
  </si>
  <si>
    <t>Trung tâm GDNN - GD thường xuyên</t>
  </si>
  <si>
    <t xml:space="preserve">Số tiền thu </t>
  </si>
  <si>
    <t>Lệ phí cấp phép xây dựng</t>
  </si>
  <si>
    <t>10=6*10%</t>
  </si>
  <si>
    <t>Đào tạo, mở các lớp học</t>
  </si>
  <si>
    <t>Trung tâm Chính trị</t>
  </si>
  <si>
    <t>Sự nghiệp Văn hóa (Phòng Văn Hóa và thông tin)</t>
  </si>
  <si>
    <t>Sự nghiệp Văn hóa (Trung tâm Văn Hóa, Thông tin và Thể thao)</t>
  </si>
  <si>
    <t>Sự nghiệp Thông tin (Trung tâm Văn Hóa, Thông tin và Thể thao)</t>
  </si>
  <si>
    <t xml:space="preserve">Lương cộng tác viên, chi tập huấn và thực hiện mô hình </t>
  </si>
  <si>
    <t xml:space="preserve"> Trung Tâm Dịch vụ Nông nghiệp</t>
  </si>
  <si>
    <t>ĐM: 45 tr</t>
  </si>
  <si>
    <t>Sự nghiệp Thủy lợi</t>
  </si>
  <si>
    <t xml:space="preserve">- Giao về Phường xã </t>
  </si>
  <si>
    <t>Phòng Lao động - Thương binh và Xã hội</t>
  </si>
  <si>
    <t>Chi hỗ trợ ấp, khu phố thuộc xã, phường tuyên truyền, phổ biến công tác bảo đảm TTATGT (2.000.000 đồng/năm x 58 khu ấp)</t>
  </si>
  <si>
    <t xml:space="preserve"> - Giao về Phường, xã (116 trđ)</t>
  </si>
  <si>
    <t xml:space="preserve"> - Giao NS phường xã </t>
  </si>
  <si>
    <t>Kinh phí đào tạo, bồi dưỡng và mở các lớp học (Trung tâm Chính Trị)</t>
  </si>
  <si>
    <t xml:space="preserve"> + Phòng Lao động - Thương binh và Xã hội</t>
  </si>
  <si>
    <t>- Hoạt động sự nghiệp</t>
  </si>
  <si>
    <t>- Kinh phí hoạt động tuyên truyền pháp luật và kiểm tra VBPL  (Phòng Tư pháp)</t>
  </si>
  <si>
    <t>- Kinh phí đặc thù dân tộc, hỗ trợ Lễ Tết cho đồng bào dân tộc và ngày hội văn hóa - thể thao các dân tộc thiểu số (Phòng Dân tộc)</t>
  </si>
  <si>
    <t>- Công tác Chỉ đạo, quản lý, quyết toán kinh phí ATGT (UBND thành phố)</t>
  </si>
  <si>
    <t>- Công tác Chỉ đạo, quản lý, quyết toán kinh phí ATGT (Phòng Tài chính - Kế hoạch)</t>
  </si>
  <si>
    <t xml:space="preserve"> + Trung tâm Văn hóa, Thông tin và Thể thao</t>
  </si>
  <si>
    <t xml:space="preserve"> + Giao NS xã, phường (58 khu ấp) 116 trđ</t>
  </si>
  <si>
    <t xml:space="preserve">Sự nghiệp Văn hóa-Thông tin: </t>
  </si>
  <si>
    <t>Kinh phí hoạt động cho Hội thanh niên xung phong</t>
  </si>
  <si>
    <t>Văn phòng UBND &amp; HĐND</t>
  </si>
  <si>
    <r>
      <t xml:space="preserve"> DỰ PHÒNG THÀNH PHỐ
</t>
    </r>
    <r>
      <rPr>
        <b/>
        <i/>
        <sz val="13"/>
        <rFont val="Times New Roman"/>
        <family val="1"/>
      </rPr>
      <t xml:space="preserve"> (2%/ tổng chi từng cấp ngân sách)</t>
    </r>
  </si>
  <si>
    <t xml:space="preserve">Chi đào tạo, dạy nghề: </t>
  </si>
  <si>
    <t xml:space="preserve"> Nguồn thu phí đơn vị được sử dụng (60%)</t>
  </si>
  <si>
    <t>- Thu học phí, dịch vụ (các đơn vị sự nghiệp tại địa phương)</t>
  </si>
  <si>
    <t>19=15-17</t>
  </si>
  <si>
    <t xml:space="preserve"> Nguồn thu phí đơn vị để lại cải cách tiền lương</t>
  </si>
  <si>
    <t>Hội cựu chiến binh Khối vận</t>
  </si>
  <si>
    <t>Kinh phí hoạt động Hội cựu chiến binh Khối vận</t>
  </si>
  <si>
    <t>13=14+15</t>
  </si>
  <si>
    <t>16=12-14</t>
  </si>
  <si>
    <t>DỰ TOÁN 2023</t>
  </si>
  <si>
    <t>Đơn vị tính: Triệu đồng</t>
  </si>
  <si>
    <t>Mẫu giáo Bảo Quang</t>
  </si>
  <si>
    <t>Mẫu giáo Phú Bình</t>
  </si>
  <si>
    <t>Mẫu giáo Thanh An</t>
  </si>
  <si>
    <t>Mẫu giáo Xuân Thanh</t>
  </si>
  <si>
    <t>Mẫu giáo Xuân Tân</t>
  </si>
  <si>
    <t>Mẫu giáo Vành Khuyên</t>
  </si>
  <si>
    <t>Mầm non Hàng Gòn</t>
  </si>
  <si>
    <t>Mầm non Sơn Ca</t>
  </si>
  <si>
    <t>Mầm non Hoa Hồng</t>
  </si>
  <si>
    <t>Mầm non Ánh Dương</t>
  </si>
  <si>
    <t>Mầm non Tuổi Thơ</t>
  </si>
  <si>
    <t>+ Thu dịch vụ</t>
  </si>
  <si>
    <t>SỰ NGHIỆP THỂ DỤC - THỂ THAO</t>
  </si>
  <si>
    <t>Thu tổ chức hội hoa xuân</t>
  </si>
  <si>
    <t xml:space="preserve">Thu cho thuê mặt bằng </t>
  </si>
  <si>
    <t>Nguồn thu dịch vụ (Hợp đồng phát thanh, tuyên truyền lưu động, thu hoạt động tại Sân vận động)</t>
  </si>
  <si>
    <t>DỰ TOÁN THU NGÂN SÁCH NHÀ NƯỚC NĂM 2023</t>
  </si>
  <si>
    <t xml:space="preserve"> Chi XHH Giao thông, Điện</t>
  </si>
  <si>
    <t>Xã loại 1 gồm 8 phường, xã: Xuân An, Bảo Vinh, Suối Tre, Xuân Lập, Xuân Tân, Bảo Quang, Bình Lộc, Hàng Gòn</t>
  </si>
  <si>
    <t>Xã loại 2 gồm 6 phường, xã: Xuân Bình, Xuân Hoà, Xuân Thanh, Xuân Trung, Bàu Sen, Bàu Trâm</t>
  </si>
  <si>
    <t>Xã loại 3: Phường Phú Bình</t>
  </si>
  <si>
    <t>Xây dựng định mức Không chuyên trách phường xã, ấp khu phố căn cứ Nghị quyết số 01/2020/ NQ-HĐND tỉnh Đồng Nai</t>
  </si>
  <si>
    <t xml:space="preserve">Xây dựng các định mức sự nghiệp còn lại theo Nghị Quyết số 17/2021/NQ-HĐND ngày 08/12/2021 của HĐND tỉnh </t>
  </si>
  <si>
    <t>Riêng sự nghiệp An ninh: xây dựng cho đội BVDP và dân phòng theo Nghị quyết số 50/2016/NQ-HĐND ngày 9/12/2016 của HĐND tỉnh Đồng Nai</t>
  </si>
  <si>
    <t>xây dựng dự toán chi cho công an xã bán chuyên trách theo Nghị quyết số 16/2022/NQ-HĐND ngày 12/8/2022 của HĐND tỉnh</t>
  </si>
  <si>
    <t>Sự nghiệp Quốc phòng: xây dựng trên cơ sở định suất giao theo Nghị quyết số 19/2020/NQ-HĐND ngày 04/12/2020 của HĐND tỉnh và các kế hoạch huấn luyện năm 1, 2-4 cho DQTV,</t>
  </si>
  <si>
    <t>Huấn luyện binh chủng, Dân quân cơ động, trực sẵn sàng chiến đấu năm 2023</t>
  </si>
  <si>
    <t>Và căn cứ các theo quy định để xây dựng dự toán 2023.</t>
  </si>
  <si>
    <t>Số thu 2023</t>
  </si>
  <si>
    <t>Số chi 2023</t>
  </si>
  <si>
    <t>DT THU 2023</t>
  </si>
  <si>
    <t>BẢO
 VINH</t>
  </si>
  <si>
    <t>Số thu hưởng tỷ lệ 50%</t>
  </si>
  <si>
    <t>Đơn vị tính: Triệu Đồng</t>
  </si>
  <si>
    <t>Trưởng ban, Phó ban ATGT: 3 người x 1.000.000 đồng x 12 tháng</t>
  </si>
  <si>
    <t>Phụ cấp kiêm nhiệm các thành viên Ban ATGT: 33 thành viên x 400.000 đồng/tháng x 12 tháng</t>
  </si>
  <si>
    <t>Lương các thành viên tổ TTATGT: 21 TV x 3.000.000 đồng/tháng x 12 tháng</t>
  </si>
  <si>
    <t>Phụ cấp trách nhiệm Tổ trưởng Tổ TTATGT: 01 người x 300.000 đồng x 12 tháng</t>
  </si>
  <si>
    <t>Phụ cấp trách nhiệm Tổ phó Tổ TTATGT: 01 người x 200.000 đồng x 12 tháng</t>
  </si>
  <si>
    <t xml:space="preserve">Trang phục quần áo cho Tổ TTATGT (khoán 2 bộ quần áo + giày + vât dụng khác): 21 thành viên x 900.000 đồng/bộ </t>
  </si>
  <si>
    <t>Chi in ấn biểu mẫu công tác xử phạt vi phạm ATGT</t>
  </si>
  <si>
    <t>Chi Bồi dưỡng tuần tra TTATGT ban đêm: 16 người x 100.000 đồng/người/ca x 18 ca/tháng x 12 tháng</t>
  </si>
  <si>
    <t>Chi Bồi dưỡng cho lực lượng Công an CSGT-TT: 24 người x 1.500.000 đồng/người/tháng x 12 tháng</t>
  </si>
  <si>
    <t>Chi phụ cấp hàng tháng cho Chánh Văn phòng và cán bộ tổng hợp: 5 người x 1.000.000 đồng/tháng/người x 12 tháng</t>
  </si>
  <si>
    <t>UBMT Tổ quốc Việt Nam thành phố</t>
  </si>
  <si>
    <t>SỰ NGHIỆP  ĐÀO TẠO</t>
  </si>
  <si>
    <t>Chi công tác giám sát phản biện năm 2023; Hội nghị tổng kết công tác Mặt trận; thăm hỏi Mặt trận; phụ cấp Ủy viên Mặt trận; Chi tặng quà khu dân cư tiêu biểu; Chi hoạt động ban vận động quỹ "Vì người nghèo"; Chương trình I</t>
  </si>
  <si>
    <t>Kinh phí tổ chức các hoạt động hè; Kinh phí tổ chức hội trại tòng quân năm 2023; Kinh phí tổ chức “Vui hội trăng rằm” năm 2023 và hoạt động khác</t>
  </si>
  <si>
    <t>Kinh phí thực hiện Đề án của BCH Đảng bộ tỉnh về công tác Phụ nữ; Lương đề án</t>
  </si>
  <si>
    <t>Kinh phí thực hiện Đề án về công tác lãnh đạo quản lý thanh niên giai đoạn 2023-2024</t>
  </si>
  <si>
    <t xml:space="preserve">Kiểm tra giám sát phản biện xã hội của Hội CCB thành phố; Hội nghị sơ và tổng kết hoạt động Liên Chi Hội Hữu nghị Việt Nam - Campuchia thành phố năm 2023; Họp mặt hội viên Cựu chiến binh cơ sở tiêu biểu tham gia công tác Đảng, Chính quyền lần thứ I năm 2023; Tổ chức hội thi Chủ tịch và Chi hội trưởng Hội Cựu chiến binh cơ sở giỏi năm 2023 </t>
  </si>
  <si>
    <t>Kinh phí tháng hành động vì Người cao tuổi Việt Nam năm 2023 và các hoạt động khác</t>
  </si>
  <si>
    <t>Hội Nạn nhân chất độc da cam/Dioxin</t>
  </si>
  <si>
    <t>Đại hội Hội Nạn nhân chất độc da cam/dioxin thành phố Long Khánh, lần thứ IV, nhiệm kỳ 2023 - 2028</t>
  </si>
  <si>
    <t>Hội Khuyến học</t>
  </si>
  <si>
    <t>Đại hội Đại biểu Hội Khuyến học Thành phố Long Khánh khóa V, nhiệm kỳ 2023-2038; Kinh phí tổ chức Hội nghị Tổng kết công tác khuyến học, khuyến tài năm 2022</t>
  </si>
  <si>
    <t>Tổ chức hội nghị tổng kết công tác năm 2023</t>
  </si>
  <si>
    <t>Văn phòng HĐND và UBND thành phố</t>
  </si>
  <si>
    <t>Phòng Văn Hóa và Thông tin</t>
  </si>
  <si>
    <t>Kinh phí hoạt động thực hiện các nhiệm vụ chuyên môn</t>
  </si>
  <si>
    <t>TỔ CHỨC CHÍNH TRỊ XÃ HỘI, CÁC TỔ CHỨC HỘI VÀ CÁC ĐƠN VỊ KHÁC NĂM 2023</t>
  </si>
  <si>
    <t>Biên chế hiện diện tháng 10/2022</t>
  </si>
  <si>
    <t>Kinh phí đặc thù và chi khác</t>
  </si>
  <si>
    <t>Kinh phí chi lương, phụ cấp, các khoản đóng góp năm 2023</t>
  </si>
  <si>
    <t>Tổng dự toán chi Lương, hoạt động năm 2023</t>
  </si>
  <si>
    <t>Dự toán chi thường xuyên đã trừ tiết kiệm năm 2023</t>
  </si>
  <si>
    <t>Tổng Dự toán giao trong năm 2023 sau khi trừ nguồn thu dịch vụ</t>
  </si>
  <si>
    <t>Tổng số CBGV
CNV được giao năm học 2022-2023</t>
  </si>
  <si>
    <t>Tổng số CBGV
CNV ( có mặt đến 01/10/2022)</t>
  </si>
  <si>
    <t xml:space="preserve">Tổng chi cho con người năm 2023: Tiền lương +phụ cấp lương+các khoản đóng góp.   </t>
  </si>
  <si>
    <t>14'</t>
  </si>
  <si>
    <t xml:space="preserve"> Tiết kiệm 10%  hoạt động từ nguồn thu học phí đơn vị được sử dụng 
</t>
  </si>
  <si>
    <t>15=11-13-14'</t>
  </si>
  <si>
    <t>Tiểu học Bàu Sen</t>
  </si>
  <si>
    <t>Tiểu học Bảo Vinh</t>
  </si>
  <si>
    <t>Tiểu học Hoà Bình</t>
  </si>
  <si>
    <t>Tiểu học Kim Đồng</t>
  </si>
  <si>
    <t>Tiểu học Lê Văn Tám</t>
  </si>
  <si>
    <t>Tiểu học Long Khánh</t>
  </si>
  <si>
    <t>Tiểu học Phú Bình</t>
  </si>
  <si>
    <t>Tiểu học Trần Phú</t>
  </si>
  <si>
    <t>Tiểu học Trưng Vương</t>
  </si>
  <si>
    <t>Tiểu học Lê Lợi</t>
  </si>
  <si>
    <t>Tiểu học Nguyễn Hữu Cảnh</t>
  </si>
  <si>
    <t>Tiểu học Xuân Lập</t>
  </si>
  <si>
    <t>Tiểu học Hùng Vương</t>
  </si>
  <si>
    <t>Tiểu học Xuân Trung</t>
  </si>
  <si>
    <t>Tiểu học Lý Tự Trọng</t>
  </si>
  <si>
    <t>Tiểu học Nguyễn Huệ</t>
  </si>
  <si>
    <t>Tiểu học Nguyễn Du</t>
  </si>
  <si>
    <t>Tiểu học Đinh Bộ Lĩnh</t>
  </si>
  <si>
    <t>SỰ NGHIỆP Y TẾ</t>
  </si>
  <si>
    <t>Phí thẩm định cấp giấy chứng nhận đủ
 điều kiện vệ sinh an toàn thực phẩm</t>
  </si>
  <si>
    <t>Hỗ trợ chi phí học tập theo Nghị định 81/CP</t>
  </si>
  <si>
    <t>Tổng số chi lương, phụ cấp, các khoản đóng góp năm 2023</t>
  </si>
  <si>
    <t>Chi khác QLNN 
(154.830 dân x 27.000đ/dân/năm)=4.180 trđ</t>
  </si>
  <si>
    <t>công tác quốc phòng (154.830 dân x 65.000đ/dân/năm) = 10.064 trđ</t>
  </si>
  <si>
    <t>công tác đảm bảo an ninh
(154.830 dân x 11.000đ/dân/năm)=1.703 trđ</t>
  </si>
  <si>
    <t xml:space="preserve"> - Đảm bảo xã hội khác (154.830 dân x 12.000đ/dân/năm)=1.858 trđ</t>
  </si>
  <si>
    <t xml:space="preserve">    - CB-CC</t>
  </si>
  <si>
    <t xml:space="preserve">- Công tác duy tu sừa chữa nhỏ, tra dầu mở định kỳ dọn dẹp cỏ rác tại công trình thủy lợi (đập dân Sân bay, đập Lác Chiếu, đập Bàu Đục, đập Bàu Tra, đập Suối Chồn, đập Đồng Háp, kênh mương Ruộng Lớn, kênh mương Ruộng Tre…) và thực hiện các nhiệm vụ chuyên môn </t>
  </si>
  <si>
    <t>SỰ NGHIỆP KINH TẾ KHÁC</t>
  </si>
  <si>
    <r>
      <t xml:space="preserve">Sự nghiệp phát thanh (Trung tâm Văn Hóa, Thông tin và Thể thao) </t>
    </r>
    <r>
      <rPr>
        <i/>
        <sz val="11"/>
        <rFont val="Times New Roman"/>
        <family val="1"/>
      </rPr>
      <t>(154.830 dân x 10.000đ/dân/năm = 1.548 trđ)</t>
    </r>
  </si>
  <si>
    <t>SỰ NGHIỆP VĂN HÓA THÔNG TIN VÀ THỂ DỤC THỂ THAO</t>
  </si>
  <si>
    <t>15=10-11-13-14'</t>
  </si>
  <si>
    <t>Tổng Dự toán giao sau khi cân đối nguồn thu được sử dụng và trừ tiết kiệm</t>
  </si>
  <si>
    <t>Kinh phí đặc thù</t>
  </si>
  <si>
    <t>Các hội thi và trang bị sách; Hoạt động đặc thù sự nghiệp văn hóa</t>
  </si>
  <si>
    <t>* Lương theo hệ số</t>
  </si>
  <si>
    <t xml:space="preserve"> Chi XHH giao thông - điện (cấp xã)</t>
  </si>
  <si>
    <t>Chi sự nghiệp giáo dục (Phòng Giáo dục và ĐT)</t>
  </si>
  <si>
    <t>Chi các hội thi và trang bị sách (đặc thù)</t>
  </si>
  <si>
    <t>Kinh phí quét dọn chăm sóc cây xanh; điện chiếu sáng; lễ viếng đền thờ và hoạt động khác (đặc thù)</t>
  </si>
  <si>
    <t>Kinh phí phụ cấp và hoạt động UBND thành phố; 
Bộ phận tiếp nhận và trả kết quả; Bộ phận tiếp công dân</t>
  </si>
  <si>
    <t>- Kinh phí hoạt động thực hiện các nhiệm vụ chuyên môn</t>
  </si>
  <si>
    <r>
      <t xml:space="preserve">SỰ NGHIỆP GIÁO DỤC - ĐÀO TẠO
 </t>
    </r>
    <r>
      <rPr>
        <b/>
        <i/>
        <sz val="13"/>
        <rFont val="Times New Roman"/>
        <family val="1"/>
      </rPr>
      <t>(đã bao gồm số thu học phí )</t>
    </r>
  </si>
  <si>
    <r>
      <t xml:space="preserve">Sự nghiệp Văn hóa - Thông tin </t>
    </r>
    <r>
      <rPr>
        <i/>
        <sz val="13"/>
        <rFont val="Times New Roman"/>
        <family val="1"/>
      </rPr>
      <t>(154.830 dân x 18.000đ/dân/năm =2.787 trđ)</t>
    </r>
  </si>
  <si>
    <r>
      <t>Sự nghiệp Thể dục - Thể thao</t>
    </r>
    <r>
      <rPr>
        <i/>
        <sz val="13"/>
        <rFont val="Times New Roman"/>
        <family val="1"/>
      </rPr>
      <t xml:space="preserve"> </t>
    </r>
    <r>
      <rPr>
        <b/>
        <i/>
        <sz val="13"/>
        <rFont val="Times New Roman"/>
        <family val="1"/>
      </rPr>
      <t xml:space="preserve">(Trung tâm Văn hóa, Thông tin và Thể thao) </t>
    </r>
    <r>
      <rPr>
        <i/>
        <sz val="13"/>
        <rFont val="Times New Roman"/>
        <family val="1"/>
      </rPr>
      <t>(154.830 dân x 10.000đ/dân/năm = 1.548 trđ)</t>
    </r>
  </si>
  <si>
    <r>
      <t xml:space="preserve">Sự nghiệp phát thanh (Trung tâm Văn hóa, Thông tin và Thể thao) </t>
    </r>
    <r>
      <rPr>
        <i/>
        <sz val="13"/>
        <rFont val="Times New Roman"/>
        <family val="1"/>
      </rPr>
      <t>(154.830 dân x 10.000đ/dân/năm = 1.548 trđ)</t>
    </r>
  </si>
  <si>
    <r>
      <t xml:space="preserve">CHI SỰ NGHIỆP Y TẾ 
</t>
    </r>
    <r>
      <rPr>
        <b/>
        <i/>
        <sz val="13"/>
        <rFont val="Times New Roman"/>
        <family val="1"/>
      </rPr>
      <t>(Bảo hiểm y tế học sinh)</t>
    </r>
  </si>
  <si>
    <r>
      <t>An ninh:</t>
    </r>
    <r>
      <rPr>
        <i/>
        <sz val="12"/>
        <rFont val="Times New Roman"/>
        <family val="1"/>
      </rPr>
      <t xml:space="preserve"> </t>
    </r>
  </si>
  <si>
    <r>
      <t xml:space="preserve">Sự nghiệp Văn hóa - Thông tin </t>
    </r>
    <r>
      <rPr>
        <i/>
        <sz val="11"/>
        <rFont val="Times New Roman"/>
        <family val="1"/>
      </rPr>
      <t>(154.830 dân x 18.000đ/dân/năm =2.787 trđ)</t>
    </r>
  </si>
  <si>
    <r>
      <t>Sự nghiệp Thể dục - Thể thao</t>
    </r>
    <r>
      <rPr>
        <i/>
        <sz val="11"/>
        <rFont val="Times New Roman"/>
        <family val="1"/>
      </rPr>
      <t xml:space="preserve"> </t>
    </r>
    <r>
      <rPr>
        <b/>
        <i/>
        <sz val="11"/>
        <rFont val="Times New Roman"/>
        <family val="1"/>
      </rPr>
      <t xml:space="preserve">(Trung tâm Văn Hóa, Thông tin và Thể thao) </t>
    </r>
    <r>
      <rPr>
        <i/>
        <sz val="11"/>
        <rFont val="Times New Roman"/>
        <family val="1"/>
      </rPr>
      <t>(154.830 dân x 10.000đ/dân/năm = 1.548 trđ)</t>
    </r>
  </si>
  <si>
    <r>
      <t xml:space="preserve">SN Y TẾ </t>
    </r>
    <r>
      <rPr>
        <b/>
        <i/>
        <sz val="11"/>
        <rFont val="Times New Roman"/>
        <family val="1"/>
      </rPr>
      <t>(Thẻ BHYT học sinh)</t>
    </r>
  </si>
  <si>
    <t>Kinh phí phụ cấp và hoạt động UBND thành phố</t>
  </si>
  <si>
    <t>Kinh phí quét dọn chăm sóc cây xanh; điện chiếu sáng; lễ viếng tại Mộ Cự thạch và hoạt động khác</t>
  </si>
  <si>
    <t>Công tác tại Mộ Cự thạch</t>
  </si>
  <si>
    <t>Công tác tại Đền thờ</t>
  </si>
  <si>
    <t>HĐ Quản trang (02 người); Công tác tại nghĩa trang</t>
  </si>
  <si>
    <t>CÔNG KHAI DỰ TOÁN THU NGÂN SÁCH NHÀ NƯỚC NĂM 2023</t>
  </si>
  <si>
    <t>CÔNG KHAI DỰ TOÁN CHI NGÂN SÁCH NHÀ NƯỚC NĂM 2023</t>
  </si>
  <si>
    <t>CÔNG KHAI PHÂN BỔ DỰ TOÁN CHI NGÂN SÁCH NĂM 2023</t>
  </si>
  <si>
    <t xml:space="preserve">CÔNG KHAI DỰ TOÁN CHI LƯƠNG VÀ HOẠT ĐỘNG CHO CÁC CƠ QUAN HÀNH CHÍNH, ĐẢNG, </t>
  </si>
  <si>
    <t>CÔNG KHAI DỰ TOÁN THU - CHI CÁC ĐƠN VỊ SỰ NGHIỆP NĂM 2023</t>
  </si>
  <si>
    <t>CÔNG KHAI DỰ TOÁN THU - CHI SỰ NGHIỆP GIÁO DỤC NĂM 2023</t>
  </si>
  <si>
    <t>CÔNG KHAI DỰ TOÁN KINH PHÍ HOẠT ĐỘNG ĐẢNG BỘ CÁC KHỐI NĂM 2023</t>
  </si>
  <si>
    <t xml:space="preserve">CÔNG KHAI DỰ TOÁN THU NGÂN SÁCH NHÀ NƯỚC NĂM 2023 CÁC PHƯỜNG, XÃ </t>
  </si>
  <si>
    <t xml:space="preserve">CÔNG KHAI DỰ TOÁN CHI NGÂN SÁCH NĂM 2023 - KHỐI PHƯỜNG, XÃ </t>
  </si>
  <si>
    <t xml:space="preserve">CÔNG KHAI DỰ TOÁN THU CHI NGÂN SÁCH NHÀ NƯỚC NĂM 2023 CÁC PHƯỜNG, XÃ </t>
  </si>
  <si>
    <t>CÔNG KHAI DỰ TOÁN KINH PHÍ ĐẢM BẢO TRẬT TỰ AN TOÀN GIAO THÔNG NĂM 2023</t>
  </si>
  <si>
    <t>CÔNG KHAI DỰ TOÁN KINH PHÍ CHI ĐẶC THÙ VÀ CHI KHÁC NĂM 2023</t>
  </si>
  <si>
    <t>CÔNG KHAI PHƯƠNG ÁN  THU HỌC PHÍ NĂM 2023</t>
  </si>
  <si>
    <t>CÔNG KHAI PHƯƠNG ÁN THU TRÔNG GIỮ XE ĐẠP VÀ DỊCH VỤ KHÁC
NĂM 2023</t>
  </si>
  <si>
    <t>THÀNH PHỐ LONG KHÁNH</t>
  </si>
  <si>
    <t xml:space="preserve">        ỦY BAN NHÂN DÂN</t>
  </si>
  <si>
    <t>(Kèm theo Quyết định số 2434/QĐ-UBND ngày  14/12/2022 của UBND thành phố)</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</si>
</sst>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_-;\-* #,##0\ _€_-;_-* \-??\ _€_-;_-@_-"/>
    <numFmt numFmtId="181" formatCode="#.##0"/>
    <numFmt numFmtId="182" formatCode="_(* #,##0_);_(* \(#,##0\);_(* \-??_);_(@_)"/>
    <numFmt numFmtId="183" formatCode="#,##0;[Red]#,##0"/>
    <numFmt numFmtId="184" formatCode="_-* #,##0.00\ _€_-;\-* #,##0.00\ _€_-;_-* \-??\ _€_-;_-@_-"/>
    <numFmt numFmtId="185" formatCode="#,##0.0"/>
    <numFmt numFmtId="186" formatCode="_-* #.##0.\ _€_-;\-* #.##0.\ _€_-;_-* \-??\ _€_-;_-@_-"/>
    <numFmt numFmtId="187" formatCode="0.0"/>
    <numFmt numFmtId="188" formatCode="_(* #,##0_);_(* \(#,##0\);_(* &quot;-&quot;??_);_(@_)"/>
    <numFmt numFmtId="189" formatCode="_(* #,##0.0_);_(* \(#,##0.0\);_(* &quot;-&quot;??_);_(@_)"/>
    <numFmt numFmtId="190" formatCode="_-* #,##0_-;\-* #,##0_-;_-* &quot;-&quot;??_-;_-@_-"/>
    <numFmt numFmtId="191" formatCode="###,##0"/>
    <numFmt numFmtId="192" formatCode="_-* #,##0.00\ _€_-;\-* #,##0.00\ _€_-;_-* &quot;-&quot;??\ _€_-;_-@_-"/>
    <numFmt numFmtId="193" formatCode="_-* #,##0.0\ _€_-;\-* #,##0.0\ _€_-;_-* \-??\ _€_-;_-@_-"/>
    <numFmt numFmtId="194" formatCode="_-* #,##0\ _€_-;\-* #,##0\ _€_-;_-* &quot;-&quot;??\ _€_-;_-@_-"/>
    <numFmt numFmtId="195" formatCode="0.000"/>
    <numFmt numFmtId="196" formatCode="0.00000"/>
    <numFmt numFmtId="197" formatCode="0.0000"/>
    <numFmt numFmtId="198" formatCode="_(* #,##0.000_);_(* \(#,##0.000\);_(* &quot;-&quot;???_);_(@_)"/>
    <numFmt numFmtId="199" formatCode="#,##0.000"/>
    <numFmt numFmtId="200" formatCode="0.000000"/>
    <numFmt numFmtId="201" formatCode="_(* #,##0.000_);_(* \(#,##0.000\);_(* &quot;-&quot;??_);_(@_)"/>
    <numFmt numFmtId="202" formatCode="#,##0.0000"/>
    <numFmt numFmtId="203" formatCode="_-* #,##0.0\ _₫_-;\-* #,##0.0\ _₫_-;_-* &quot;-&quot;?\ _₫_-;_-@_-"/>
    <numFmt numFmtId="204" formatCode="_-* #,##0.0\ _₫_-;\-* #,##0.0\ _₫_-;_-* &quot;-&quot;??\ _₫_-;_-@_-"/>
    <numFmt numFmtId="205" formatCode="_-* #,##0\ _₫_-;\-* #,##0\ _₫_-;_-* &quot;-&quot;??\ _₫_-;_-@_-"/>
    <numFmt numFmtId="206" formatCode="&quot;Yes&quot;;&quot;Yes&quot;;&quot;No&quot;"/>
    <numFmt numFmtId="207" formatCode="&quot;True&quot;;&quot;True&quot;;&quot;False&quot;"/>
    <numFmt numFmtId="208" formatCode="&quot;On&quot;;&quot;On&quot;;&quot;Off&quot;"/>
    <numFmt numFmtId="209" formatCode="[$€-2]\ #,##0.00_);[Red]\([$€-2]\ #,##0.00\)"/>
    <numFmt numFmtId="210" formatCode="#,##0.0;[Red]#,##0.0"/>
    <numFmt numFmtId="211" formatCode="#,##0.00;[Red]#,##0.00"/>
    <numFmt numFmtId="212" formatCode="[$-42A]dd\ mmmm\ yyyy"/>
    <numFmt numFmtId="213" formatCode="###,##0,"/>
    <numFmt numFmtId="214" formatCode="#,##0,"/>
    <numFmt numFmtId="215" formatCode="0.0;[Red]0.0"/>
    <numFmt numFmtId="216" formatCode="###,##0.00,,"/>
    <numFmt numFmtId="217" formatCode="#,##0.00,"/>
    <numFmt numFmtId="218" formatCode="#,##0.00,,"/>
  </numFmts>
  <fonts count="95">
    <font>
      <sz val="10"/>
      <name val="Arial"/>
      <family val="0"/>
    </font>
    <font>
      <sz val="14"/>
      <color indexed="8"/>
      <name val="Times New Roman"/>
      <family val="2"/>
    </font>
    <font>
      <b/>
      <sz val="8"/>
      <name val="Tahoma"/>
      <family val="2"/>
    </font>
    <font>
      <b/>
      <sz val="13"/>
      <name val="Times New Roman"/>
      <family val="1"/>
    </font>
    <font>
      <sz val="12"/>
      <name val="Times New Roman"/>
      <family val="1"/>
    </font>
    <font>
      <b/>
      <sz val="14"/>
      <name val="Times New Roman"/>
      <family val="1"/>
    </font>
    <font>
      <sz val="10"/>
      <name val="MS Sans Serif"/>
      <family val="2"/>
    </font>
    <font>
      <b/>
      <sz val="11"/>
      <name val="Times New Roman"/>
      <family val="1"/>
    </font>
    <font>
      <b/>
      <sz val="9"/>
      <name val="Times New Roman"/>
      <family val="1"/>
    </font>
    <font>
      <b/>
      <sz val="10"/>
      <name val="Times New Roman"/>
      <family val="1"/>
    </font>
    <font>
      <sz val="9"/>
      <name val="Times New Roman"/>
      <family val="1"/>
    </font>
    <font>
      <b/>
      <sz val="12"/>
      <name val="Times New Roman"/>
      <family val="1"/>
    </font>
    <font>
      <sz val="10"/>
      <name val="Times New Roman"/>
      <family val="1"/>
    </font>
    <font>
      <sz val="8"/>
      <name val="Tahoma"/>
      <family val="2"/>
    </font>
    <font>
      <sz val="8"/>
      <name val="Arial"/>
      <family val="2"/>
    </font>
    <font>
      <sz val="11"/>
      <name val="Times New Roman"/>
      <family val="1"/>
    </font>
    <font>
      <sz val="12"/>
      <name val="VNI-Times"/>
      <family val="0"/>
    </font>
    <font>
      <i/>
      <sz val="11"/>
      <name val="Times New Roman"/>
      <family val="1"/>
    </font>
    <font>
      <i/>
      <sz val="10"/>
      <name val="Times New Roman"/>
      <family val="1"/>
    </font>
    <font>
      <sz val="12"/>
      <name val="Arial"/>
      <family val="2"/>
    </font>
    <font>
      <i/>
      <sz val="13"/>
      <name val="Times New Roman"/>
      <family val="1"/>
    </font>
    <font>
      <sz val="10"/>
      <name val="VnTimes"/>
      <family val="0"/>
    </font>
    <font>
      <sz val="11"/>
      <color indexed="8"/>
      <name val="times new roman"/>
      <family val="2"/>
    </font>
    <font>
      <sz val="13"/>
      <name val="Times New Roman"/>
      <family val="1"/>
    </font>
    <font>
      <sz val="8"/>
      <name val="Times New Roman"/>
      <family val="1"/>
    </font>
    <font>
      <sz val="14"/>
      <name val="Times New Roman"/>
      <family val="1"/>
    </font>
    <font>
      <b/>
      <sz val="9"/>
      <name val="Tahoma"/>
      <family val="2"/>
    </font>
    <font>
      <u val="single"/>
      <sz val="7.5"/>
      <color indexed="12"/>
      <name val="Arial"/>
      <family val="2"/>
    </font>
    <font>
      <u val="single"/>
      <sz val="7.5"/>
      <color indexed="36"/>
      <name val="Arial"/>
      <family val="2"/>
    </font>
    <font>
      <u val="single"/>
      <sz val="12"/>
      <name val="Times New Roman"/>
      <family val="1"/>
    </font>
    <font>
      <sz val="9"/>
      <name val="Tahoma"/>
      <family val="2"/>
    </font>
    <font>
      <i/>
      <sz val="14"/>
      <name val="Times New Roman"/>
      <family val="1"/>
    </font>
    <font>
      <i/>
      <sz val="12"/>
      <name val="Times New Roman"/>
      <family val="1"/>
    </font>
    <font>
      <b/>
      <i/>
      <sz val="11"/>
      <name val="Times New Roman"/>
      <family val="1"/>
    </font>
    <font>
      <b/>
      <i/>
      <sz val="10"/>
      <name val="Times New Roman"/>
      <family val="1"/>
    </font>
    <font>
      <sz val="12"/>
      <name val="Tahoma"/>
      <family val="2"/>
    </font>
    <font>
      <sz val="13"/>
      <name val="VNI-Times"/>
      <family val="0"/>
    </font>
    <font>
      <b/>
      <sz val="13"/>
      <name val="VNI-Times"/>
      <family val="0"/>
    </font>
    <font>
      <b/>
      <i/>
      <sz val="13"/>
      <name val="Times New Roman"/>
      <family val="1"/>
    </font>
    <font>
      <b/>
      <sz val="12"/>
      <name val="VNI-Times"/>
      <family val="0"/>
    </font>
    <font>
      <b/>
      <i/>
      <sz val="12"/>
      <name val="VNI-Times"/>
      <family val="0"/>
    </font>
    <font>
      <u val="single"/>
      <sz val="13"/>
      <name val="Times New Roman"/>
      <family val="1"/>
    </font>
    <font>
      <i/>
      <sz val="12"/>
      <name val="VNI-Times"/>
      <family val="0"/>
    </font>
    <font>
      <b/>
      <i/>
      <sz val="12"/>
      <name val="Times New Roman"/>
      <family val="1"/>
    </font>
    <font>
      <b/>
      <u val="single"/>
      <sz val="12"/>
      <name val="Times New Roman"/>
      <family val="1"/>
    </font>
    <font>
      <b/>
      <i/>
      <u val="single"/>
      <sz val="11"/>
      <name val="Times New Roman"/>
      <family val="1"/>
    </font>
    <font>
      <i/>
      <u val="single"/>
      <sz val="11"/>
      <name val="Times New Roman"/>
      <family val="1"/>
    </font>
    <font>
      <b/>
      <sz val="8"/>
      <name val="Times New Roman"/>
      <family val="1"/>
    </font>
    <font>
      <b/>
      <sz val="12"/>
      <name val="Arial"/>
      <family val="2"/>
    </font>
    <font>
      <b/>
      <u val="single"/>
      <sz val="14"/>
      <name val="Times New Roman"/>
      <family val="1"/>
    </font>
    <font>
      <sz val="14"/>
      <color indexed="8"/>
      <name val="VNI-Times"/>
      <family val="0"/>
    </font>
    <font>
      <b/>
      <i/>
      <sz val="13"/>
      <name val="VNI-Times"/>
      <family val="0"/>
    </font>
    <font>
      <sz val="10"/>
      <name val="VNI-Times"/>
      <family val="0"/>
    </font>
    <font>
      <b/>
      <i/>
      <sz val="10"/>
      <name val="Arial"/>
      <family val="2"/>
    </font>
    <font>
      <b/>
      <sz val="10"/>
      <name val="Arial"/>
      <family val="2"/>
    </font>
    <font>
      <u val="sing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
      <sz val="11"/>
      <color theme="1"/>
      <name val="Times New Roman"/>
      <family val="1"/>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hair"/>
    </border>
    <border>
      <left style="thin"/>
      <right style="thin"/>
      <top/>
      <bottom style="thin"/>
    </border>
    <border>
      <left>
        <color indexed="63"/>
      </left>
      <right>
        <color indexed="63"/>
      </right>
      <top>
        <color indexed="63"/>
      </top>
      <bottom style="thin"/>
    </border>
    <border>
      <left style="thin"/>
      <right style="thin"/>
      <top style="thin"/>
      <bottom/>
    </border>
    <border>
      <left>
        <color indexed="63"/>
      </left>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0"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19" fillId="0" borderId="0" applyFont="0" applyFill="0" applyBorder="0" applyAlignment="0" applyProtection="0"/>
    <xf numFmtId="192" fontId="19" fillId="0" borderId="0" applyFont="0" applyFill="0" applyBorder="0" applyAlignment="0" applyProtection="0"/>
    <xf numFmtId="43" fontId="19"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1" fillId="28"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27" fillId="0" borderId="0" applyNumberFormat="0" applyFill="0" applyBorder="0" applyAlignment="0" applyProtection="0"/>
    <xf numFmtId="0" fontId="85" fillId="29" borderId="1" applyNumberFormat="0" applyAlignment="0" applyProtection="0"/>
    <xf numFmtId="0" fontId="86" fillId="0" borderId="6" applyNumberFormat="0" applyFill="0" applyAlignment="0" applyProtection="0"/>
    <xf numFmtId="0" fontId="87" fillId="30" borderId="0" applyNumberFormat="0" applyBorder="0" applyAlignment="0" applyProtection="0"/>
    <xf numFmtId="0" fontId="12"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6" fillId="0" borderId="0">
      <alignment/>
      <protection/>
    </xf>
    <xf numFmtId="0" fontId="19" fillId="0" borderId="0">
      <alignment/>
      <protection/>
    </xf>
    <xf numFmtId="0" fontId="19" fillId="0" borderId="0">
      <alignment/>
      <protection/>
    </xf>
    <xf numFmtId="0" fontId="1" fillId="0" borderId="0">
      <alignment/>
      <protection/>
    </xf>
    <xf numFmtId="0" fontId="6" fillId="0" borderId="0">
      <alignment/>
      <protection/>
    </xf>
    <xf numFmtId="0" fontId="16" fillId="0" borderId="0">
      <alignment/>
      <protection/>
    </xf>
    <xf numFmtId="0" fontId="21" fillId="0" borderId="0">
      <alignment/>
      <protection/>
    </xf>
    <xf numFmtId="0" fontId="0" fillId="0" borderId="0">
      <alignment/>
      <protection/>
    </xf>
    <xf numFmtId="0" fontId="0" fillId="31" borderId="7" applyNumberFormat="0" applyFont="0" applyAlignment="0" applyProtection="0"/>
    <xf numFmtId="0" fontId="88" fillId="26"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068">
    <xf numFmtId="0" fontId="0" fillId="0" borderId="0" xfId="0" applyAlignment="1">
      <alignment/>
    </xf>
    <xf numFmtId="0" fontId="3" fillId="0" borderId="0" xfId="0" applyFont="1" applyAlignment="1">
      <alignment/>
    </xf>
    <xf numFmtId="180" fontId="10" fillId="0" borderId="0" xfId="42" applyNumberFormat="1" applyFont="1" applyFill="1" applyAlignment="1">
      <alignment/>
    </xf>
    <xf numFmtId="180" fontId="10" fillId="0" borderId="0" xfId="42" applyNumberFormat="1" applyFont="1" applyFill="1" applyAlignment="1">
      <alignment/>
    </xf>
    <xf numFmtId="0" fontId="25" fillId="0" borderId="10" xfId="72" applyFont="1" applyFill="1" applyBorder="1" applyAlignment="1">
      <alignment horizontal="center" vertical="center" wrapText="1"/>
      <protection/>
    </xf>
    <xf numFmtId="0" fontId="5" fillId="0" borderId="10" xfId="72" applyFont="1" applyFill="1" applyBorder="1" applyAlignment="1">
      <alignment horizontal="center" vertical="center" wrapText="1"/>
      <protection/>
    </xf>
    <xf numFmtId="3" fontId="5" fillId="0" borderId="10" xfId="0" applyNumberFormat="1" applyFont="1" applyFill="1" applyBorder="1" applyAlignment="1">
      <alignment horizontal="center" vertical="center" wrapText="1"/>
    </xf>
    <xf numFmtId="0" fontId="12" fillId="0" borderId="0" xfId="75" applyFont="1" applyAlignment="1">
      <alignment horizontal="center"/>
      <protection/>
    </xf>
    <xf numFmtId="3" fontId="12" fillId="0" borderId="0" xfId="75" applyNumberFormat="1" applyFont="1" applyAlignment="1">
      <alignment horizontal="center"/>
      <protection/>
    </xf>
    <xf numFmtId="3" fontId="4" fillId="0" borderId="10" xfId="0" applyNumberFormat="1" applyFont="1" applyBorder="1" applyAlignment="1">
      <alignment horizontal="right"/>
    </xf>
    <xf numFmtId="3" fontId="5" fillId="0" borderId="10" xfId="72" applyNumberFormat="1" applyFont="1" applyFill="1" applyBorder="1" applyAlignment="1">
      <alignment horizontal="right" vertical="center" wrapText="1"/>
      <protection/>
    </xf>
    <xf numFmtId="3" fontId="4" fillId="0" borderId="10" xfId="0" applyNumberFormat="1" applyFont="1" applyBorder="1" applyAlignment="1">
      <alignment vertical="center"/>
    </xf>
    <xf numFmtId="0" fontId="5" fillId="0" borderId="10" xfId="0" applyFont="1" applyBorder="1" applyAlignment="1">
      <alignment horizontal="center" vertical="center" wrapText="1"/>
    </xf>
    <xf numFmtId="0" fontId="5" fillId="0" borderId="10" xfId="72" applyFont="1" applyFill="1" applyBorder="1" applyAlignment="1">
      <alignment horizontal="left" vertical="center" wrapText="1"/>
      <protection/>
    </xf>
    <xf numFmtId="0" fontId="7" fillId="0" borderId="10" xfId="0" applyFont="1" applyFill="1" applyBorder="1" applyAlignment="1">
      <alignment horizontal="center" vertical="center" wrapText="1"/>
    </xf>
    <xf numFmtId="0" fontId="3" fillId="0" borderId="0" xfId="0" applyFont="1" applyFill="1" applyAlignment="1">
      <alignment vertical="center"/>
    </xf>
    <xf numFmtId="0" fontId="12" fillId="0" borderId="0" xfId="0" applyFont="1" applyFill="1" applyAlignment="1">
      <alignment vertical="center"/>
    </xf>
    <xf numFmtId="0" fontId="3"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center" vertical="center"/>
    </xf>
    <xf numFmtId="0" fontId="25" fillId="0" borderId="0" xfId="0" applyFont="1" applyFill="1" applyAlignment="1">
      <alignment vertical="center"/>
    </xf>
    <xf numFmtId="0" fontId="11" fillId="0" borderId="0" xfId="0" applyFont="1" applyFill="1" applyAlignment="1">
      <alignment vertical="center"/>
    </xf>
    <xf numFmtId="3" fontId="15" fillId="0" borderId="10" xfId="42" applyNumberFormat="1" applyFont="1" applyFill="1" applyBorder="1" applyAlignment="1">
      <alignment horizontal="right" vertical="center"/>
    </xf>
    <xf numFmtId="0" fontId="7" fillId="0" borderId="0" xfId="0" applyFont="1" applyFill="1" applyAlignment="1">
      <alignment vertical="center"/>
    </xf>
    <xf numFmtId="0" fontId="3" fillId="0" borderId="0" xfId="0" applyFont="1" applyAlignment="1">
      <alignment vertical="center"/>
    </xf>
    <xf numFmtId="0" fontId="23" fillId="0" borderId="0" xfId="0" applyFont="1" applyAlignment="1">
      <alignment vertical="center"/>
    </xf>
    <xf numFmtId="0" fontId="23" fillId="0" borderId="0" xfId="0" applyFont="1" applyFill="1" applyAlignment="1">
      <alignment horizontal="center" vertical="center"/>
    </xf>
    <xf numFmtId="0" fontId="23" fillId="0" borderId="0" xfId="0" applyFont="1" applyAlignment="1">
      <alignment horizontal="left" vertical="center"/>
    </xf>
    <xf numFmtId="188" fontId="23" fillId="0" borderId="0" xfId="42" applyNumberFormat="1" applyFont="1" applyAlignment="1">
      <alignment vertical="center"/>
    </xf>
    <xf numFmtId="0" fontId="23" fillId="0" borderId="0" xfId="0" applyFont="1" applyFill="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15" fillId="0" borderId="0" xfId="0" applyFont="1" applyAlignment="1">
      <alignment vertical="center"/>
    </xf>
    <xf numFmtId="0" fontId="12" fillId="0" borderId="0" xfId="0" applyFont="1" applyAlignment="1">
      <alignment vertical="center"/>
    </xf>
    <xf numFmtId="3" fontId="25" fillId="0" borderId="10" xfId="72" applyNumberFormat="1" applyFont="1" applyFill="1" applyBorder="1" applyAlignment="1">
      <alignment horizontal="center" vertical="center"/>
      <protection/>
    </xf>
    <xf numFmtId="0" fontId="15" fillId="0" borderId="0" xfId="0" applyFont="1" applyFill="1" applyAlignment="1">
      <alignment vertical="center"/>
    </xf>
    <xf numFmtId="3" fontId="5" fillId="0" borderId="10" xfId="72" applyNumberFormat="1" applyFont="1" applyFill="1" applyBorder="1" applyAlignment="1">
      <alignment horizontal="left" vertical="center"/>
      <protection/>
    </xf>
    <xf numFmtId="3" fontId="5" fillId="0" borderId="10" xfId="72" applyNumberFormat="1" applyFont="1" applyFill="1" applyBorder="1" applyAlignment="1">
      <alignment horizontal="left" vertical="center" wrapText="1"/>
      <protection/>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3" fontId="5" fillId="0" borderId="10" xfId="72" applyNumberFormat="1" applyFont="1" applyFill="1" applyBorder="1" applyAlignment="1">
      <alignment horizontal="center" vertical="center" wrapText="1"/>
      <protection/>
    </xf>
    <xf numFmtId="49" fontId="5" fillId="0" borderId="10" xfId="0" applyNumberFormat="1" applyFont="1" applyFill="1" applyBorder="1" applyAlignment="1">
      <alignment horizontal="left" vertical="center" wrapText="1"/>
    </xf>
    <xf numFmtId="0" fontId="25" fillId="0" borderId="10" xfId="0" applyFont="1" applyFill="1" applyBorder="1" applyAlignment="1">
      <alignment horizontal="center" vertical="center" wrapText="1"/>
    </xf>
    <xf numFmtId="49" fontId="25" fillId="0" borderId="10" xfId="0" applyNumberFormat="1" applyFont="1" applyFill="1" applyBorder="1" applyAlignment="1">
      <alignment horizontal="left" vertical="center" wrapText="1"/>
    </xf>
    <xf numFmtId="2" fontId="5" fillId="0" borderId="10" xfId="0" applyNumberFormat="1" applyFont="1" applyBorder="1" applyAlignment="1">
      <alignment horizontal="left" vertical="center" wrapText="1"/>
    </xf>
    <xf numFmtId="180" fontId="7" fillId="0" borderId="10" xfId="42" applyNumberFormat="1" applyFont="1" applyFill="1" applyBorder="1" applyAlignment="1">
      <alignment horizontal="right" vertical="center" wrapText="1"/>
    </xf>
    <xf numFmtId="3" fontId="25" fillId="0" borderId="10" xfId="72" applyNumberFormat="1" applyFont="1" applyFill="1" applyBorder="1" applyAlignment="1">
      <alignment horizontal="center" vertical="center" wrapText="1"/>
      <protection/>
    </xf>
    <xf numFmtId="3" fontId="25" fillId="0" borderId="10" xfId="72" applyNumberFormat="1" applyFont="1" applyFill="1" applyBorder="1" applyAlignment="1">
      <alignment horizontal="left" vertical="center" wrapText="1"/>
      <protection/>
    </xf>
    <xf numFmtId="9" fontId="5" fillId="0" borderId="10" xfId="0" applyNumberFormat="1" applyFont="1" applyBorder="1" applyAlignment="1">
      <alignment horizontal="center" vertical="center" wrapText="1"/>
    </xf>
    <xf numFmtId="3" fontId="5" fillId="0" borderId="10" xfId="0" applyNumberFormat="1" applyFont="1" applyBorder="1" applyAlignment="1">
      <alignment horizontal="right" vertical="center" wrapText="1"/>
    </xf>
    <xf numFmtId="3" fontId="5" fillId="0" borderId="10" xfId="0" applyNumberFormat="1" applyFont="1" applyFill="1" applyBorder="1" applyAlignment="1">
      <alignment horizontal="left" vertical="center" wrapText="1"/>
    </xf>
    <xf numFmtId="0" fontId="25" fillId="0" borderId="10" xfId="0" applyFont="1" applyBorder="1" applyAlignment="1">
      <alignment horizontal="center" vertical="center" wrapText="1"/>
    </xf>
    <xf numFmtId="3" fontId="25" fillId="0" borderId="10" xfId="0" applyNumberFormat="1" applyFont="1" applyFill="1" applyBorder="1" applyAlignment="1">
      <alignment horizontal="right" vertical="center" wrapText="1"/>
    </xf>
    <xf numFmtId="0" fontId="25" fillId="0" borderId="10" xfId="0" applyFont="1" applyFill="1" applyBorder="1" applyAlignment="1">
      <alignment horizontal="left" vertical="center" wrapText="1"/>
    </xf>
    <xf numFmtId="180" fontId="4" fillId="0" borderId="0" xfId="0" applyNumberFormat="1" applyFont="1" applyFill="1" applyAlignment="1">
      <alignment vertical="center"/>
    </xf>
    <xf numFmtId="0" fontId="4" fillId="32" borderId="0" xfId="0" applyFont="1" applyFill="1" applyAlignment="1">
      <alignment vertical="center"/>
    </xf>
    <xf numFmtId="0" fontId="10" fillId="0" borderId="0" xfId="0" applyFont="1" applyFill="1" applyAlignment="1">
      <alignment vertical="center"/>
    </xf>
    <xf numFmtId="180" fontId="7" fillId="32" borderId="10" xfId="42" applyNumberFormat="1" applyFont="1" applyFill="1" applyBorder="1" applyAlignment="1">
      <alignment horizontal="right" vertical="center" wrapText="1"/>
    </xf>
    <xf numFmtId="180" fontId="4" fillId="32" borderId="0" xfId="0" applyNumberFormat="1" applyFont="1" applyFill="1" applyAlignment="1">
      <alignment vertical="center"/>
    </xf>
    <xf numFmtId="3" fontId="5" fillId="33" borderId="10" xfId="42" applyNumberFormat="1" applyFont="1" applyFill="1" applyBorder="1" applyAlignment="1" applyProtection="1">
      <alignment horizontal="right" vertical="center" wrapText="1"/>
      <protection/>
    </xf>
    <xf numFmtId="180" fontId="10" fillId="0" borderId="10" xfId="42" applyNumberFormat="1" applyFont="1" applyFill="1" applyBorder="1" applyAlignment="1">
      <alignment horizontal="center" vertical="center" wrapText="1"/>
    </xf>
    <xf numFmtId="3" fontId="15" fillId="0" borderId="10" xfId="74" applyNumberFormat="1" applyFont="1" applyFill="1" applyBorder="1" applyAlignment="1">
      <alignment horizontal="left" vertical="center" wrapText="1"/>
      <protection/>
    </xf>
    <xf numFmtId="3" fontId="12" fillId="0" borderId="10" xfId="74" applyNumberFormat="1" applyFont="1" applyFill="1" applyBorder="1" applyAlignment="1">
      <alignment horizontal="left" vertical="center" wrapText="1"/>
      <protection/>
    </xf>
    <xf numFmtId="3" fontId="7" fillId="0" borderId="10" xfId="74" applyNumberFormat="1" applyFont="1" applyFill="1" applyBorder="1" applyAlignment="1">
      <alignment horizontal="center" vertical="center" wrapText="1"/>
      <protection/>
    </xf>
    <xf numFmtId="3" fontId="7" fillId="0" borderId="10" xfId="74" applyNumberFormat="1" applyFont="1" applyFill="1" applyBorder="1" applyAlignment="1">
      <alignment horizontal="left" vertical="center" wrapText="1"/>
      <protection/>
    </xf>
    <xf numFmtId="3" fontId="4" fillId="0" borderId="0" xfId="0" applyNumberFormat="1" applyFont="1" applyFill="1" applyAlignment="1">
      <alignment vertical="center"/>
    </xf>
    <xf numFmtId="189" fontId="12" fillId="0" borderId="0" xfId="0" applyNumberFormat="1" applyFont="1" applyFill="1" applyAlignment="1">
      <alignment vertical="center"/>
    </xf>
    <xf numFmtId="0" fontId="3" fillId="33" borderId="0" xfId="0" applyFont="1" applyFill="1" applyAlignment="1">
      <alignment vertical="center"/>
    </xf>
    <xf numFmtId="0" fontId="25" fillId="0" borderId="10" xfId="0" applyFont="1" applyBorder="1" applyAlignment="1">
      <alignment horizontal="left" vertical="center" wrapText="1"/>
    </xf>
    <xf numFmtId="3" fontId="7" fillId="33" borderId="10" xfId="74" applyNumberFormat="1" applyFont="1" applyFill="1" applyBorder="1" applyAlignment="1">
      <alignment horizontal="center" vertical="center" wrapText="1"/>
      <protection/>
    </xf>
    <xf numFmtId="3" fontId="7" fillId="33" borderId="10" xfId="74" applyNumberFormat="1" applyFont="1" applyFill="1" applyBorder="1" applyAlignment="1">
      <alignment horizontal="left" vertical="center" wrapText="1"/>
      <protection/>
    </xf>
    <xf numFmtId="190" fontId="8" fillId="0" borderId="11" xfId="49" applyNumberFormat="1" applyFont="1" applyFill="1" applyBorder="1" applyAlignment="1">
      <alignment horizontal="center" vertical="center" wrapText="1"/>
    </xf>
    <xf numFmtId="0" fontId="7" fillId="0" borderId="0" xfId="68" applyFont="1" applyBorder="1">
      <alignment/>
      <protection/>
    </xf>
    <xf numFmtId="183" fontId="7" fillId="0" borderId="0" xfId="68" applyNumberFormat="1" applyFont="1" applyBorder="1">
      <alignment/>
      <protection/>
    </xf>
    <xf numFmtId="215" fontId="15" fillId="0" borderId="0" xfId="68" applyNumberFormat="1" applyFont="1">
      <alignment/>
      <protection/>
    </xf>
    <xf numFmtId="0" fontId="15" fillId="0" borderId="0" xfId="68" applyFont="1">
      <alignment/>
      <protection/>
    </xf>
    <xf numFmtId="0" fontId="4" fillId="0" borderId="0" xfId="68" applyFont="1">
      <alignment/>
      <protection/>
    </xf>
    <xf numFmtId="0" fontId="11" fillId="0" borderId="0" xfId="68" applyFont="1">
      <alignment/>
      <protection/>
    </xf>
    <xf numFmtId="0" fontId="4" fillId="0" borderId="0" xfId="68" applyFont="1" quotePrefix="1">
      <alignment/>
      <protection/>
    </xf>
    <xf numFmtId="0" fontId="23" fillId="32" borderId="0" xfId="0" applyFont="1" applyFill="1" applyAlignment="1">
      <alignment vertical="center"/>
    </xf>
    <xf numFmtId="0" fontId="23" fillId="32" borderId="0" xfId="0" applyFont="1" applyFill="1" applyAlignment="1">
      <alignment horizontal="center" vertical="center"/>
    </xf>
    <xf numFmtId="0" fontId="23" fillId="32" borderId="10" xfId="0" applyFont="1" applyFill="1" applyBorder="1" applyAlignment="1">
      <alignment vertical="center"/>
    </xf>
    <xf numFmtId="0" fontId="23" fillId="32" borderId="10" xfId="0" applyFont="1" applyFill="1" applyBorder="1" applyAlignment="1">
      <alignment horizontal="center" vertical="center"/>
    </xf>
    <xf numFmtId="0" fontId="3" fillId="32" borderId="10" xfId="72" applyFont="1" applyFill="1" applyBorder="1" applyAlignment="1">
      <alignment horizontal="center" vertical="center" wrapText="1"/>
      <protection/>
    </xf>
    <xf numFmtId="0" fontId="3" fillId="32" borderId="10" xfId="0" applyFont="1" applyFill="1" applyBorder="1" applyAlignment="1">
      <alignment horizontal="center" vertical="center" wrapText="1"/>
    </xf>
    <xf numFmtId="3" fontId="5" fillId="32" borderId="10" xfId="72" applyNumberFormat="1" applyFont="1" applyFill="1" applyBorder="1" applyAlignment="1">
      <alignment horizontal="right" vertical="center" wrapText="1"/>
      <protection/>
    </xf>
    <xf numFmtId="0" fontId="5" fillId="32" borderId="10" xfId="72" applyFont="1" applyFill="1" applyBorder="1" applyAlignment="1">
      <alignment horizontal="center" vertical="center" wrapText="1"/>
      <protection/>
    </xf>
    <xf numFmtId="0" fontId="5" fillId="32" borderId="10" xfId="0" applyFont="1" applyFill="1" applyBorder="1" applyAlignment="1">
      <alignment horizontal="center" vertical="center" wrapText="1"/>
    </xf>
    <xf numFmtId="3" fontId="5" fillId="32" borderId="10" xfId="42" applyNumberFormat="1" applyFont="1" applyFill="1" applyBorder="1" applyAlignment="1">
      <alignment horizontal="right" vertical="center" wrapText="1"/>
    </xf>
    <xf numFmtId="0" fontId="25" fillId="32" borderId="10" xfId="0" applyFont="1" applyFill="1" applyBorder="1" applyAlignment="1">
      <alignment horizontal="center" vertical="center"/>
    </xf>
    <xf numFmtId="0" fontId="25" fillId="32" borderId="10" xfId="72" applyFont="1" applyFill="1" applyBorder="1" applyAlignment="1">
      <alignment horizontal="center" vertical="center" wrapText="1"/>
      <protection/>
    </xf>
    <xf numFmtId="0" fontId="25" fillId="33" borderId="10" xfId="72" applyFont="1" applyFill="1" applyBorder="1" applyAlignment="1">
      <alignment horizontal="right" vertical="center" wrapText="1"/>
      <protection/>
    </xf>
    <xf numFmtId="3" fontId="25" fillId="32" borderId="10" xfId="72" applyNumberFormat="1" applyFont="1" applyFill="1" applyBorder="1" applyAlignment="1">
      <alignment vertical="center"/>
      <protection/>
    </xf>
    <xf numFmtId="3" fontId="5" fillId="32" borderId="10" xfId="42" applyNumberFormat="1" applyFont="1" applyFill="1" applyBorder="1" applyAlignment="1">
      <alignment horizontal="right" vertical="center"/>
    </xf>
    <xf numFmtId="0" fontId="3" fillId="0" borderId="0" xfId="0" applyFont="1" applyFill="1" applyAlignment="1">
      <alignment/>
    </xf>
    <xf numFmtId="0" fontId="5" fillId="0" borderId="0" xfId="0" applyFont="1" applyFill="1" applyAlignment="1">
      <alignment/>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3" fontId="5" fillId="0" borderId="10" xfId="42" applyNumberFormat="1" applyFont="1" applyFill="1" applyBorder="1" applyAlignment="1" applyProtection="1">
      <alignment horizontal="right" vertical="center" wrapText="1"/>
      <protection/>
    </xf>
    <xf numFmtId="3" fontId="11" fillId="0" borderId="10" xfId="42" applyNumberFormat="1" applyFont="1" applyFill="1" applyBorder="1" applyAlignment="1" applyProtection="1">
      <alignment horizontal="right" vertical="center" wrapText="1"/>
      <protection/>
    </xf>
    <xf numFmtId="3" fontId="4" fillId="0" borderId="10" xfId="42" applyNumberFormat="1" applyFont="1" applyFill="1" applyBorder="1" applyAlignment="1" applyProtection="1">
      <alignment horizontal="right" vertical="center" wrapText="1"/>
      <protection/>
    </xf>
    <xf numFmtId="0" fontId="7" fillId="0" borderId="10" xfId="0" applyFont="1" applyFill="1" applyBorder="1" applyAlignment="1">
      <alignment horizontal="left" vertical="center" wrapText="1"/>
    </xf>
    <xf numFmtId="0" fontId="5" fillId="0" borderId="0" xfId="66" applyFont="1" applyFill="1" applyAlignment="1">
      <alignment horizontal="center"/>
      <protection/>
    </xf>
    <xf numFmtId="0" fontId="25" fillId="0" borderId="0" xfId="66" applyFont="1" applyFill="1">
      <alignment/>
      <protection/>
    </xf>
    <xf numFmtId="0" fontId="25" fillId="0" borderId="0" xfId="66" applyFont="1" applyFill="1" applyAlignment="1">
      <alignment horizontal="center"/>
      <protection/>
    </xf>
    <xf numFmtId="0" fontId="4" fillId="0" borderId="0" xfId="73" applyFont="1" applyFill="1">
      <alignment/>
      <protection/>
    </xf>
    <xf numFmtId="0" fontId="4" fillId="0" borderId="0" xfId="69" applyFont="1" applyFill="1">
      <alignment/>
      <protection/>
    </xf>
    <xf numFmtId="0" fontId="5" fillId="0" borderId="0" xfId="66" applyFont="1" applyFill="1" applyAlignment="1">
      <alignment horizontal="left"/>
      <protection/>
    </xf>
    <xf numFmtId="179" fontId="5" fillId="0" borderId="0" xfId="47" applyNumberFormat="1" applyFont="1" applyFill="1" applyAlignment="1">
      <alignment horizontal="center"/>
    </xf>
    <xf numFmtId="188" fontId="5" fillId="0" borderId="0" xfId="47" applyNumberFormat="1" applyFont="1" applyFill="1" applyAlignment="1">
      <alignment horizontal="center"/>
    </xf>
    <xf numFmtId="179" fontId="25" fillId="0" borderId="0" xfId="47" applyNumberFormat="1" applyFont="1" applyFill="1" applyAlignment="1">
      <alignment horizontal="center"/>
    </xf>
    <xf numFmtId="188" fontId="25" fillId="0" borderId="0" xfId="47" applyNumberFormat="1" applyFont="1" applyFill="1" applyAlignment="1">
      <alignment/>
    </xf>
    <xf numFmtId="179" fontId="25" fillId="0" borderId="0" xfId="47" applyNumberFormat="1" applyFont="1" applyFill="1" applyAlignment="1">
      <alignment/>
    </xf>
    <xf numFmtId="179" fontId="4" fillId="0" borderId="10" xfId="47" applyNumberFormat="1" applyFont="1" applyFill="1" applyBorder="1" applyAlignment="1">
      <alignment horizontal="center" vertical="center" wrapText="1"/>
    </xf>
    <xf numFmtId="0" fontId="4" fillId="0" borderId="10" xfId="66" applyFont="1" applyFill="1" applyBorder="1" applyAlignment="1">
      <alignment horizontal="center" vertical="center" wrapText="1"/>
      <protection/>
    </xf>
    <xf numFmtId="188" fontId="4" fillId="0" borderId="10" xfId="47" applyNumberFormat="1" applyFont="1" applyFill="1" applyBorder="1" applyAlignment="1">
      <alignment horizontal="center" vertical="center" wrapText="1"/>
    </xf>
    <xf numFmtId="179" fontId="11" fillId="0" borderId="10" xfId="47" applyNumberFormat="1" applyFont="1" applyFill="1" applyBorder="1" applyAlignment="1">
      <alignment horizontal="center" vertical="center" wrapText="1"/>
    </xf>
    <xf numFmtId="0" fontId="24" fillId="0" borderId="12" xfId="66" applyFont="1" applyFill="1" applyBorder="1" applyAlignment="1" quotePrefix="1">
      <alignment horizontal="center" vertical="center" wrapText="1"/>
      <protection/>
    </xf>
    <xf numFmtId="0" fontId="24" fillId="0" borderId="10" xfId="66" applyFont="1" applyFill="1" applyBorder="1" applyAlignment="1" quotePrefix="1">
      <alignment horizontal="center" vertical="center" wrapText="1"/>
      <protection/>
    </xf>
    <xf numFmtId="179" fontId="24" fillId="0" borderId="10" xfId="47" applyNumberFormat="1" applyFont="1" applyFill="1" applyBorder="1" applyAlignment="1" quotePrefix="1">
      <alignment horizontal="center" vertical="center" wrapText="1"/>
    </xf>
    <xf numFmtId="179" fontId="24" fillId="0" borderId="10" xfId="47" applyNumberFormat="1" applyFont="1" applyFill="1" applyBorder="1" applyAlignment="1">
      <alignment horizontal="center" vertical="center" wrapText="1"/>
    </xf>
    <xf numFmtId="0" fontId="24" fillId="0" borderId="10" xfId="66" applyFont="1" applyFill="1" applyBorder="1" applyAlignment="1">
      <alignment horizontal="center" vertical="center" wrapText="1"/>
      <protection/>
    </xf>
    <xf numFmtId="188" fontId="24" fillId="0" borderId="10" xfId="66" applyNumberFormat="1" applyFont="1" applyFill="1" applyBorder="1" applyAlignment="1">
      <alignment vertical="center" wrapText="1"/>
      <protection/>
    </xf>
    <xf numFmtId="179" fontId="24" fillId="0" borderId="10" xfId="66" applyNumberFormat="1" applyFont="1" applyFill="1" applyBorder="1" applyAlignment="1">
      <alignment horizontal="center" vertical="center" wrapText="1"/>
      <protection/>
    </xf>
    <xf numFmtId="0" fontId="24" fillId="0" borderId="0" xfId="69" applyFont="1" applyFill="1">
      <alignment/>
      <protection/>
    </xf>
    <xf numFmtId="0" fontId="11" fillId="0" borderId="12" xfId="66" applyFont="1" applyFill="1" applyBorder="1" applyAlignment="1" quotePrefix="1">
      <alignment horizontal="center" vertical="center" wrapText="1"/>
      <protection/>
    </xf>
    <xf numFmtId="0" fontId="11" fillId="0" borderId="12" xfId="66" applyFont="1" applyFill="1" applyBorder="1" applyAlignment="1">
      <alignment horizontal="center" vertical="center" wrapText="1"/>
      <protection/>
    </xf>
    <xf numFmtId="0" fontId="11" fillId="0" borderId="12" xfId="66" applyFont="1" applyFill="1" applyBorder="1" applyAlignment="1">
      <alignment horizontal="right" vertical="center" wrapText="1"/>
      <protection/>
    </xf>
    <xf numFmtId="205" fontId="11" fillId="0" borderId="10" xfId="73" applyNumberFormat="1" applyFont="1" applyFill="1" applyBorder="1" applyAlignment="1">
      <alignment horizontal="right" vertical="center" wrapText="1"/>
      <protection/>
    </xf>
    <xf numFmtId="0" fontId="4" fillId="0" borderId="10" xfId="66" applyFont="1" applyFill="1" applyBorder="1" applyAlignment="1">
      <alignment horizontal="left" vertical="center" wrapText="1"/>
      <protection/>
    </xf>
    <xf numFmtId="0" fontId="4" fillId="0" borderId="10" xfId="66" applyFont="1" applyFill="1" applyBorder="1" applyAlignment="1">
      <alignment horizontal="right" vertical="center" wrapText="1"/>
      <protection/>
    </xf>
    <xf numFmtId="179" fontId="4" fillId="0" borderId="10" xfId="47" applyNumberFormat="1" applyFont="1" applyFill="1" applyBorder="1" applyAlignment="1">
      <alignment horizontal="right" vertical="center" wrapText="1"/>
    </xf>
    <xf numFmtId="188" fontId="4" fillId="0" borderId="10" xfId="47" applyNumberFormat="1" applyFont="1" applyFill="1" applyBorder="1" applyAlignment="1">
      <alignment horizontal="right" vertical="center" wrapText="1"/>
    </xf>
    <xf numFmtId="189" fontId="4" fillId="0" borderId="10" xfId="47" applyNumberFormat="1" applyFont="1" applyFill="1" applyBorder="1" applyAlignment="1">
      <alignment horizontal="right" vertical="center" wrapText="1"/>
    </xf>
    <xf numFmtId="0" fontId="15" fillId="0" borderId="0" xfId="69" applyFont="1" applyFill="1">
      <alignment/>
      <protection/>
    </xf>
    <xf numFmtId="0" fontId="4" fillId="0" borderId="10" xfId="66" applyFont="1" applyFill="1" applyBorder="1" applyAlignment="1">
      <alignment vertical="center" wrapText="1"/>
      <protection/>
    </xf>
    <xf numFmtId="0" fontId="11" fillId="0" borderId="10" xfId="69" applyFont="1" applyFill="1" applyBorder="1" applyAlignment="1">
      <alignment horizontal="center" vertical="center" wrapText="1"/>
      <protection/>
    </xf>
    <xf numFmtId="49" fontId="3" fillId="0" borderId="10" xfId="0" applyNumberFormat="1" applyFont="1" applyFill="1" applyBorder="1" applyAlignment="1">
      <alignment horizontal="left" vertical="center" wrapText="1"/>
    </xf>
    <xf numFmtId="0" fontId="11" fillId="0" borderId="10" xfId="69" applyFont="1" applyFill="1" applyBorder="1">
      <alignment/>
      <protection/>
    </xf>
    <xf numFmtId="179" fontId="11" fillId="0" borderId="10" xfId="69" applyNumberFormat="1" applyFont="1" applyFill="1" applyBorder="1">
      <alignment/>
      <protection/>
    </xf>
    <xf numFmtId="3" fontId="44" fillId="0" borderId="10" xfId="69" applyNumberFormat="1" applyFont="1" applyFill="1" applyBorder="1">
      <alignment/>
      <protection/>
    </xf>
    <xf numFmtId="0" fontId="11" fillId="0" borderId="0" xfId="69" applyFont="1" applyFill="1">
      <alignment/>
      <protection/>
    </xf>
    <xf numFmtId="0" fontId="32" fillId="0" borderId="10" xfId="69" applyFont="1" applyFill="1" applyBorder="1">
      <alignment/>
      <protection/>
    </xf>
    <xf numFmtId="49" fontId="18" fillId="0" borderId="10" xfId="0" applyNumberFormat="1" applyFont="1" applyFill="1" applyBorder="1" applyAlignment="1">
      <alignment horizontal="left" vertical="center" wrapText="1"/>
    </xf>
    <xf numFmtId="49" fontId="18" fillId="0" borderId="10" xfId="0" applyNumberFormat="1" applyFont="1" applyFill="1" applyBorder="1" applyAlignment="1">
      <alignment horizontal="justify" wrapText="1"/>
    </xf>
    <xf numFmtId="0" fontId="18" fillId="0" borderId="10" xfId="69" applyFont="1" applyFill="1" applyBorder="1">
      <alignment/>
      <protection/>
    </xf>
    <xf numFmtId="179" fontId="18" fillId="0" borderId="10" xfId="69" applyNumberFormat="1" applyFont="1" applyFill="1" applyBorder="1">
      <alignment/>
      <protection/>
    </xf>
    <xf numFmtId="3" fontId="18" fillId="0" borderId="10" xfId="0" applyNumberFormat="1" applyFont="1" applyFill="1" applyBorder="1" applyAlignment="1">
      <alignment horizontal="right" vertical="center"/>
    </xf>
    <xf numFmtId="0" fontId="32" fillId="0" borderId="0" xfId="69" applyFont="1" applyFill="1">
      <alignment/>
      <protection/>
    </xf>
    <xf numFmtId="0" fontId="4" fillId="0" borderId="10" xfId="69" applyFont="1" applyFill="1" applyBorder="1">
      <alignment/>
      <protection/>
    </xf>
    <xf numFmtId="179" fontId="4" fillId="0" borderId="0" xfId="69" applyNumberFormat="1" applyFont="1" applyFill="1">
      <alignment/>
      <protection/>
    </xf>
    <xf numFmtId="0" fontId="24" fillId="0" borderId="10" xfId="73" applyFont="1" applyFill="1" applyBorder="1" applyAlignment="1">
      <alignment horizontal="center" vertical="center" wrapText="1"/>
      <protection/>
    </xf>
    <xf numFmtId="0" fontId="25" fillId="0" borderId="10" xfId="73" applyFont="1" applyFill="1" applyBorder="1" applyAlignment="1">
      <alignment horizontal="right" vertical="center" wrapText="1"/>
      <protection/>
    </xf>
    <xf numFmtId="188" fontId="25" fillId="0" borderId="10" xfId="73" applyNumberFormat="1" applyFont="1" applyFill="1" applyBorder="1" applyAlignment="1">
      <alignment horizontal="right" vertical="center" wrapText="1"/>
      <protection/>
    </xf>
    <xf numFmtId="205" fontId="25" fillId="0" borderId="10" xfId="73" applyNumberFormat="1" applyFont="1" applyFill="1" applyBorder="1" applyAlignment="1">
      <alignment horizontal="right" vertical="center" wrapText="1"/>
      <protection/>
    </xf>
    <xf numFmtId="0" fontId="25" fillId="0" borderId="10" xfId="69" applyFont="1" applyFill="1" applyBorder="1" applyAlignment="1">
      <alignment horizontal="right" vertical="center" wrapText="1"/>
      <protection/>
    </xf>
    <xf numFmtId="0" fontId="7" fillId="0" borderId="10" xfId="72" applyFont="1" applyFill="1" applyBorder="1" applyAlignment="1">
      <alignment horizontal="center" vertical="center" wrapText="1"/>
      <protection/>
    </xf>
    <xf numFmtId="0" fontId="3" fillId="0" borderId="0" xfId="65" applyFont="1" applyAlignment="1">
      <alignment vertical="center"/>
      <protection/>
    </xf>
    <xf numFmtId="0" fontId="25" fillId="0" borderId="0" xfId="65" applyFont="1" applyAlignment="1">
      <alignment vertical="center" wrapText="1"/>
      <protection/>
    </xf>
    <xf numFmtId="0" fontId="25" fillId="32" borderId="0" xfId="65" applyFont="1" applyFill="1" applyAlignment="1">
      <alignment vertical="center" wrapText="1"/>
      <protection/>
    </xf>
    <xf numFmtId="188" fontId="25" fillId="0" borderId="0" xfId="45" applyNumberFormat="1" applyFont="1" applyAlignment="1">
      <alignment vertical="center"/>
    </xf>
    <xf numFmtId="0" fontId="25" fillId="0" borderId="0" xfId="65" applyFont="1" applyAlignment="1">
      <alignment vertical="center"/>
      <protection/>
    </xf>
    <xf numFmtId="0" fontId="5" fillId="0" borderId="0" xfId="65" applyFont="1" applyAlignment="1">
      <alignment horizontal="center" vertical="center"/>
      <protection/>
    </xf>
    <xf numFmtId="0" fontId="25" fillId="0" borderId="0" xfId="65" applyFont="1" applyFill="1" applyAlignment="1">
      <alignment vertical="center"/>
      <protection/>
    </xf>
    <xf numFmtId="0" fontId="25" fillId="0" borderId="13" xfId="65" applyFont="1" applyBorder="1" applyAlignment="1">
      <alignment horizontal="center" vertical="center"/>
      <protection/>
    </xf>
    <xf numFmtId="0" fontId="25" fillId="32" borderId="0" xfId="65" applyFont="1" applyFill="1" applyBorder="1" applyAlignment="1">
      <alignment horizontal="center" vertical="center"/>
      <protection/>
    </xf>
    <xf numFmtId="0" fontId="25" fillId="0" borderId="0" xfId="65" applyFont="1" applyBorder="1" applyAlignment="1">
      <alignment horizontal="center" vertical="center"/>
      <protection/>
    </xf>
    <xf numFmtId="0" fontId="17" fillId="0" borderId="0" xfId="0" applyFont="1" applyAlignment="1">
      <alignment horizontal="right" vertical="center"/>
    </xf>
    <xf numFmtId="0" fontId="5" fillId="0" borderId="10" xfId="65" applyFont="1" applyBorder="1" applyAlignment="1">
      <alignment horizontal="center" vertical="center"/>
      <protection/>
    </xf>
    <xf numFmtId="0" fontId="5" fillId="0" borderId="10" xfId="65" applyFont="1" applyBorder="1" applyAlignment="1">
      <alignment horizontal="center" vertical="center" wrapText="1"/>
      <protection/>
    </xf>
    <xf numFmtId="0" fontId="11" fillId="32" borderId="10" xfId="0" applyFont="1" applyFill="1" applyBorder="1" applyAlignment="1">
      <alignment horizontal="center" vertical="center"/>
    </xf>
    <xf numFmtId="188" fontId="5" fillId="32" borderId="10" xfId="42" applyNumberFormat="1" applyFont="1" applyFill="1" applyBorder="1" applyAlignment="1">
      <alignment horizontal="right" vertical="center" wrapText="1"/>
    </xf>
    <xf numFmtId="3" fontId="5" fillId="0" borderId="10" xfId="45" applyNumberFormat="1" applyFont="1" applyBorder="1" applyAlignment="1">
      <alignment vertical="center"/>
    </xf>
    <xf numFmtId="0" fontId="5" fillId="0" borderId="10" xfId="65" applyFont="1" applyBorder="1" applyAlignment="1">
      <alignment horizontal="left" vertical="center"/>
      <protection/>
    </xf>
    <xf numFmtId="0" fontId="5" fillId="0" borderId="10" xfId="65" applyFont="1" applyBorder="1" applyAlignment="1">
      <alignment vertical="center"/>
      <protection/>
    </xf>
    <xf numFmtId="0" fontId="5" fillId="34" borderId="10" xfId="65" applyFont="1" applyFill="1" applyBorder="1" applyAlignment="1">
      <alignment vertical="center" wrapText="1"/>
      <protection/>
    </xf>
    <xf numFmtId="0" fontId="5" fillId="0" borderId="10" xfId="65" applyFont="1" applyBorder="1" applyAlignment="1">
      <alignment horizontal="right" vertical="center" wrapText="1"/>
      <protection/>
    </xf>
    <xf numFmtId="3" fontId="5" fillId="0" borderId="10" xfId="45" applyNumberFormat="1" applyFont="1" applyFill="1" applyBorder="1" applyAlignment="1">
      <alignment vertical="center"/>
    </xf>
    <xf numFmtId="0" fontId="5" fillId="0" borderId="0" xfId="65" applyFont="1" applyAlignment="1">
      <alignment vertical="center"/>
      <protection/>
    </xf>
    <xf numFmtId="0" fontId="25" fillId="0" borderId="10" xfId="65" applyFont="1" applyBorder="1" applyAlignment="1">
      <alignment horizontal="center" vertical="center"/>
      <protection/>
    </xf>
    <xf numFmtId="0" fontId="25" fillId="0" borderId="10" xfId="65" applyFont="1" applyBorder="1" applyAlignment="1">
      <alignment vertical="center"/>
      <protection/>
    </xf>
    <xf numFmtId="188" fontId="25" fillId="32" borderId="10" xfId="42" applyNumberFormat="1" applyFont="1" applyFill="1" applyBorder="1" applyAlignment="1">
      <alignment horizontal="right" vertical="center" wrapText="1"/>
    </xf>
    <xf numFmtId="0" fontId="5" fillId="32" borderId="10" xfId="65" applyFont="1" applyFill="1" applyBorder="1" applyAlignment="1">
      <alignment vertical="center" wrapText="1"/>
      <protection/>
    </xf>
    <xf numFmtId="0" fontId="5" fillId="0" borderId="10" xfId="65" applyFont="1" applyBorder="1" applyAlignment="1">
      <alignment vertical="center" wrapText="1"/>
      <protection/>
    </xf>
    <xf numFmtId="0" fontId="25" fillId="0" borderId="10" xfId="65" applyFont="1" applyBorder="1" applyAlignment="1">
      <alignment vertical="center" wrapText="1"/>
      <protection/>
    </xf>
    <xf numFmtId="3" fontId="25" fillId="0" borderId="10" xfId="45" applyNumberFormat="1" applyFont="1" applyBorder="1" applyAlignment="1">
      <alignment vertical="center"/>
    </xf>
    <xf numFmtId="0" fontId="5" fillId="0" borderId="10" xfId="65" applyFont="1" applyBorder="1" applyAlignment="1">
      <alignment horizontal="left" vertical="center" wrapText="1"/>
      <protection/>
    </xf>
    <xf numFmtId="0" fontId="25" fillId="0" borderId="10" xfId="65" applyFont="1" applyBorder="1" applyAlignment="1">
      <alignment horizontal="left" vertical="center" wrapText="1"/>
      <protection/>
    </xf>
    <xf numFmtId="0" fontId="25" fillId="0" borderId="10" xfId="65" applyFont="1" applyBorder="1" applyAlignment="1">
      <alignment horizontal="center" vertical="center" wrapText="1"/>
      <protection/>
    </xf>
    <xf numFmtId="188" fontId="25" fillId="32" borderId="10" xfId="42" applyNumberFormat="1" applyFont="1" applyFill="1" applyBorder="1" applyAlignment="1">
      <alignment horizontal="center" vertical="center" wrapText="1"/>
    </xf>
    <xf numFmtId="3" fontId="25" fillId="0" borderId="10" xfId="45" applyNumberFormat="1" applyFont="1" applyBorder="1" applyAlignment="1">
      <alignment vertical="center" wrapText="1"/>
    </xf>
    <xf numFmtId="0" fontId="5" fillId="0" borderId="14" xfId="65" applyFont="1" applyBorder="1" applyAlignment="1">
      <alignment horizontal="center" vertical="center"/>
      <protection/>
    </xf>
    <xf numFmtId="0" fontId="5" fillId="0" borderId="14" xfId="65" applyFont="1" applyBorder="1" applyAlignment="1">
      <alignment vertical="center"/>
      <protection/>
    </xf>
    <xf numFmtId="0" fontId="5" fillId="0" borderId="14" xfId="65" applyFont="1" applyBorder="1" applyAlignment="1">
      <alignment vertical="center" wrapText="1"/>
      <protection/>
    </xf>
    <xf numFmtId="188" fontId="25" fillId="32" borderId="14" xfId="42" applyNumberFormat="1" applyFont="1" applyFill="1" applyBorder="1" applyAlignment="1">
      <alignment horizontal="right" vertical="center" wrapText="1"/>
    </xf>
    <xf numFmtId="3" fontId="5" fillId="0" borderId="14" xfId="45" applyNumberFormat="1" applyFont="1" applyBorder="1" applyAlignment="1">
      <alignment vertical="center"/>
    </xf>
    <xf numFmtId="0" fontId="25" fillId="0" borderId="10" xfId="66" applyFont="1" applyBorder="1" applyAlignment="1">
      <alignment horizontal="left" vertical="center" wrapText="1"/>
      <protection/>
    </xf>
    <xf numFmtId="0" fontId="23" fillId="0" borderId="0" xfId="0" applyFont="1" applyAlignment="1">
      <alignment horizontal="center" vertical="center"/>
    </xf>
    <xf numFmtId="0" fontId="25" fillId="0" borderId="10" xfId="72" applyFont="1" applyBorder="1" applyAlignment="1">
      <alignment horizontal="left" vertical="center" wrapText="1"/>
      <protection/>
    </xf>
    <xf numFmtId="0" fontId="5" fillId="33" borderId="10" xfId="72" applyFont="1" applyFill="1" applyBorder="1" applyAlignment="1">
      <alignment horizontal="center" vertical="center" wrapText="1"/>
      <protection/>
    </xf>
    <xf numFmtId="0" fontId="25" fillId="33" borderId="10" xfId="0" applyFont="1" applyFill="1" applyBorder="1" applyAlignment="1">
      <alignment horizontal="center" vertical="center"/>
    </xf>
    <xf numFmtId="3" fontId="25" fillId="0" borderId="10" xfId="72" applyNumberFormat="1" applyFont="1" applyBorder="1" applyAlignment="1">
      <alignment horizontal="left" vertical="center"/>
      <protection/>
    </xf>
    <xf numFmtId="3" fontId="25" fillId="33" borderId="10" xfId="72" applyNumberFormat="1" applyFont="1" applyFill="1" applyBorder="1" applyAlignment="1">
      <alignment vertical="center"/>
      <protection/>
    </xf>
    <xf numFmtId="3" fontId="25" fillId="35" borderId="10" xfId="72" applyNumberFormat="1" applyFont="1" applyFill="1" applyBorder="1" applyAlignment="1">
      <alignment horizontal="left" vertical="center"/>
      <protection/>
    </xf>
    <xf numFmtId="3" fontId="25" fillId="35" borderId="10" xfId="72" applyNumberFormat="1" applyFont="1" applyFill="1" applyBorder="1" applyAlignment="1">
      <alignment vertical="center"/>
      <protection/>
    </xf>
    <xf numFmtId="0" fontId="25" fillId="35" borderId="10" xfId="0" applyFont="1" applyFill="1" applyBorder="1" applyAlignment="1">
      <alignment horizontal="center" vertical="center"/>
    </xf>
    <xf numFmtId="0" fontId="92" fillId="35" borderId="10" xfId="0" applyFont="1" applyFill="1" applyBorder="1" applyAlignment="1">
      <alignment horizontal="center" vertical="center"/>
    </xf>
    <xf numFmtId="0" fontId="92" fillId="33" borderId="10" xfId="0" applyFont="1" applyFill="1" applyBorder="1" applyAlignment="1">
      <alignment horizontal="center" vertical="center"/>
    </xf>
    <xf numFmtId="3" fontId="5" fillId="33" borderId="10" xfId="72" applyNumberFormat="1" applyFont="1" applyFill="1" applyBorder="1" applyAlignment="1">
      <alignment horizontal="center" vertical="center" wrapText="1"/>
      <protection/>
    </xf>
    <xf numFmtId="0" fontId="25" fillId="0" borderId="10" xfId="0" applyFont="1" applyBorder="1" applyAlignment="1">
      <alignment vertical="center"/>
    </xf>
    <xf numFmtId="3" fontId="5" fillId="32" borderId="10" xfId="72" applyNumberFormat="1" applyFont="1" applyFill="1" applyBorder="1" applyAlignment="1">
      <alignment vertical="center"/>
      <protection/>
    </xf>
    <xf numFmtId="3" fontId="5" fillId="32" borderId="10" xfId="72" applyNumberFormat="1" applyFont="1" applyFill="1" applyBorder="1" applyAlignment="1">
      <alignment horizontal="center" vertical="center"/>
      <protection/>
    </xf>
    <xf numFmtId="3" fontId="25" fillId="0" borderId="10" xfId="42" applyNumberFormat="1" applyFont="1" applyFill="1" applyBorder="1" applyAlignment="1">
      <alignment horizontal="right" vertical="center"/>
    </xf>
    <xf numFmtId="0" fontId="3" fillId="0" borderId="0" xfId="0" applyFont="1" applyAlignment="1">
      <alignment horizontal="left" vertical="center"/>
    </xf>
    <xf numFmtId="0" fontId="25"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center" vertical="center"/>
    </xf>
    <xf numFmtId="3" fontId="5" fillId="0" borderId="10" xfId="72" applyNumberFormat="1" applyFont="1" applyFill="1" applyBorder="1" applyAlignment="1">
      <alignment horizontal="right" vertical="center"/>
      <protection/>
    </xf>
    <xf numFmtId="3" fontId="25" fillId="0" borderId="10" xfId="0" applyNumberFormat="1" applyFont="1" applyBorder="1" applyAlignment="1">
      <alignment horizontal="right" vertical="center"/>
    </xf>
    <xf numFmtId="1" fontId="25" fillId="0" borderId="10" xfId="0" applyNumberFormat="1" applyFont="1" applyBorder="1" applyAlignment="1">
      <alignment vertical="center"/>
    </xf>
    <xf numFmtId="3" fontId="25" fillId="0" borderId="10" xfId="0" applyNumberFormat="1" applyFont="1" applyBorder="1" applyAlignment="1">
      <alignment vertical="center"/>
    </xf>
    <xf numFmtId="3" fontId="5" fillId="0" borderId="10" xfId="0" applyNumberFormat="1" applyFont="1" applyBorder="1" applyAlignment="1">
      <alignment horizontal="right" vertical="center"/>
    </xf>
    <xf numFmtId="0" fontId="5" fillId="0" borderId="10" xfId="0" applyFont="1" applyBorder="1" applyAlignment="1">
      <alignment horizontal="right" vertical="center"/>
    </xf>
    <xf numFmtId="0" fontId="25" fillId="0" borderId="10" xfId="0" applyFont="1" applyBorder="1" applyAlignment="1">
      <alignment horizontal="center" vertical="center"/>
    </xf>
    <xf numFmtId="0" fontId="25" fillId="0" borderId="10" xfId="0" applyFont="1" applyBorder="1" applyAlignment="1">
      <alignment horizontal="right" vertical="center"/>
    </xf>
    <xf numFmtId="0" fontId="15" fillId="0" borderId="10" xfId="72"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15" fillId="32" borderId="10" xfId="0" applyFont="1" applyFill="1" applyBorder="1" applyAlignment="1">
      <alignment horizontal="center" vertical="center" wrapText="1"/>
    </xf>
    <xf numFmtId="179" fontId="7" fillId="0" borderId="10" xfId="42" applyFont="1" applyFill="1" applyBorder="1" applyAlignment="1">
      <alignment horizontal="center" vertical="center" wrapText="1"/>
    </xf>
    <xf numFmtId="179" fontId="7" fillId="0" borderId="10" xfId="42" applyFont="1" applyFill="1" applyBorder="1" applyAlignment="1">
      <alignment horizontal="left" vertical="center" wrapText="1"/>
    </xf>
    <xf numFmtId="0" fontId="15" fillId="0" borderId="10" xfId="72" applyFont="1" applyFill="1" applyBorder="1" applyAlignment="1">
      <alignment horizontal="left" vertical="center" wrapText="1"/>
      <protection/>
    </xf>
    <xf numFmtId="0" fontId="15" fillId="0" borderId="10" xfId="72" applyFont="1" applyFill="1" applyBorder="1" applyAlignment="1">
      <alignment horizontal="right" vertical="center" wrapText="1"/>
      <protection/>
    </xf>
    <xf numFmtId="3" fontId="15" fillId="0" borderId="10" xfId="72" applyNumberFormat="1" applyFont="1" applyFill="1" applyBorder="1" applyAlignment="1">
      <alignment horizontal="right" vertical="center" wrapText="1"/>
      <protection/>
    </xf>
    <xf numFmtId="180" fontId="15" fillId="0" borderId="10" xfId="42" applyNumberFormat="1" applyFont="1" applyFill="1" applyBorder="1" applyAlignment="1">
      <alignment horizontal="right" vertical="center" wrapText="1"/>
    </xf>
    <xf numFmtId="180" fontId="15" fillId="32" borderId="10" xfId="42" applyNumberFormat="1" applyFont="1" applyFill="1" applyBorder="1" applyAlignment="1">
      <alignment horizontal="right" vertical="center" wrapText="1"/>
    </xf>
    <xf numFmtId="180" fontId="15" fillId="0" borderId="10" xfId="0" applyNumberFormat="1" applyFont="1" applyFill="1" applyBorder="1" applyAlignment="1">
      <alignment vertical="center"/>
    </xf>
    <xf numFmtId="0" fontId="15" fillId="0" borderId="10" xfId="0" applyFont="1" applyFill="1" applyBorder="1" applyAlignment="1">
      <alignment vertical="center"/>
    </xf>
    <xf numFmtId="3" fontId="15" fillId="0" borderId="10" xfId="0" applyNumberFormat="1" applyFont="1" applyFill="1" applyBorder="1" applyAlignment="1">
      <alignment horizontal="right" vertical="center"/>
    </xf>
    <xf numFmtId="3" fontId="15" fillId="0" borderId="10" xfId="72" applyNumberFormat="1" applyFont="1" applyFill="1" applyBorder="1" applyAlignment="1">
      <alignment horizontal="center" vertical="center" wrapText="1"/>
      <protection/>
    </xf>
    <xf numFmtId="3" fontId="7" fillId="0" borderId="10" xfId="72" applyNumberFormat="1" applyFont="1" applyFill="1" applyBorder="1" applyAlignment="1">
      <alignment horizontal="right" vertical="center" wrapText="1"/>
      <protection/>
    </xf>
    <xf numFmtId="180" fontId="7" fillId="0" borderId="10" xfId="42" applyNumberFormat="1" applyFont="1" applyFill="1" applyBorder="1" applyAlignment="1">
      <alignment horizontal="center" vertical="center" wrapText="1"/>
    </xf>
    <xf numFmtId="180" fontId="7" fillId="0" borderId="10" xfId="42"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188" fontId="7" fillId="0" borderId="10" xfId="42" applyNumberFormat="1" applyFont="1" applyFill="1" applyBorder="1" applyAlignment="1">
      <alignment horizontal="right" vertical="center" wrapText="1"/>
    </xf>
    <xf numFmtId="3" fontId="15" fillId="0" borderId="10" xfId="0" applyNumberFormat="1" applyFont="1" applyFill="1" applyBorder="1" applyAlignment="1">
      <alignment horizontal="left" vertical="center" wrapText="1"/>
    </xf>
    <xf numFmtId="188" fontId="15" fillId="0" borderId="10" xfId="42" applyNumberFormat="1" applyFont="1" applyFill="1" applyBorder="1" applyAlignment="1">
      <alignment horizontal="right" vertical="center" wrapText="1"/>
    </xf>
    <xf numFmtId="180" fontId="15" fillId="0" borderId="10" xfId="0" applyNumberFormat="1" applyFont="1" applyFill="1" applyBorder="1" applyAlignment="1">
      <alignment horizontal="right" vertical="center"/>
    </xf>
    <xf numFmtId="180" fontId="7" fillId="0" borderId="10" xfId="42" applyNumberFormat="1" applyFont="1" applyFill="1" applyBorder="1" applyAlignment="1">
      <alignment vertical="center" wrapText="1"/>
    </xf>
    <xf numFmtId="188" fontId="7" fillId="0" borderId="10" xfId="42" applyNumberFormat="1" applyFont="1" applyFill="1" applyBorder="1" applyAlignment="1">
      <alignment vertical="center" wrapText="1"/>
    </xf>
    <xf numFmtId="0" fontId="7" fillId="0" borderId="10" xfId="72" applyFont="1" applyFill="1" applyBorder="1" applyAlignment="1">
      <alignment horizontal="right" vertical="center" wrapText="1"/>
      <protection/>
    </xf>
    <xf numFmtId="3" fontId="7" fillId="0" borderId="10" xfId="42" applyNumberFormat="1" applyFont="1" applyFill="1" applyBorder="1" applyAlignment="1">
      <alignment horizontal="right" vertical="center" wrapText="1"/>
    </xf>
    <xf numFmtId="0" fontId="7" fillId="0" borderId="10" xfId="72" applyFont="1" applyFill="1" applyBorder="1" applyAlignment="1">
      <alignment horizontal="left" vertical="center" wrapText="1"/>
      <protection/>
    </xf>
    <xf numFmtId="180" fontId="7" fillId="0" borderId="10" xfId="72" applyNumberFormat="1" applyFont="1" applyFill="1" applyBorder="1" applyAlignment="1">
      <alignment horizontal="right" vertical="center" wrapText="1"/>
      <protection/>
    </xf>
    <xf numFmtId="180" fontId="7" fillId="32" borderId="10" xfId="72" applyNumberFormat="1" applyFont="1" applyFill="1" applyBorder="1" applyAlignment="1">
      <alignment horizontal="right" vertical="center" wrapText="1"/>
      <protection/>
    </xf>
    <xf numFmtId="49" fontId="15" fillId="0" borderId="10" xfId="0" applyNumberFormat="1"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0" xfId="72" applyFont="1" applyBorder="1" applyAlignment="1">
      <alignment horizontal="left" vertical="center" wrapText="1"/>
      <protection/>
    </xf>
    <xf numFmtId="0" fontId="15" fillId="0" borderId="10" xfId="72" applyFont="1" applyBorder="1" applyAlignment="1">
      <alignment horizontal="right" vertical="center" wrapText="1"/>
      <protection/>
    </xf>
    <xf numFmtId="3" fontId="15" fillId="0" borderId="10" xfId="72" applyNumberFormat="1" applyFont="1" applyBorder="1" applyAlignment="1">
      <alignment horizontal="right" vertical="center" wrapText="1"/>
      <protection/>
    </xf>
    <xf numFmtId="180" fontId="15" fillId="35" borderId="10" xfId="42" applyNumberFormat="1" applyFont="1" applyFill="1" applyBorder="1" applyAlignment="1">
      <alignment horizontal="right" vertical="center" wrapText="1"/>
    </xf>
    <xf numFmtId="3" fontId="15" fillId="0" borderId="10" xfId="72" applyNumberFormat="1" applyFont="1" applyBorder="1" applyAlignment="1">
      <alignment horizontal="left" vertical="center" wrapText="1"/>
      <protection/>
    </xf>
    <xf numFmtId="3" fontId="15" fillId="0" borderId="10" xfId="72" applyNumberFormat="1" applyFont="1" applyBorder="1" applyAlignment="1">
      <alignment horizontal="right" vertical="center"/>
      <protection/>
    </xf>
    <xf numFmtId="3" fontId="15" fillId="0" borderId="10" xfId="0" applyNumberFormat="1" applyFont="1" applyBorder="1" applyAlignment="1">
      <alignment horizontal="right" vertical="center"/>
    </xf>
    <xf numFmtId="0" fontId="7" fillId="35" borderId="10" xfId="0" applyFont="1" applyFill="1" applyBorder="1" applyAlignment="1">
      <alignment horizontal="left" vertical="center" wrapText="1"/>
    </xf>
    <xf numFmtId="188" fontId="7" fillId="35" borderId="10" xfId="42" applyNumberFormat="1" applyFont="1" applyFill="1" applyBorder="1" applyAlignment="1">
      <alignment horizontal="right" vertical="center" wrapText="1"/>
    </xf>
    <xf numFmtId="180" fontId="7" fillId="35" borderId="10" xfId="42" applyNumberFormat="1" applyFont="1" applyFill="1" applyBorder="1" applyAlignment="1">
      <alignment horizontal="right" vertical="center" wrapText="1"/>
    </xf>
    <xf numFmtId="180" fontId="7" fillId="35" borderId="10" xfId="42" applyNumberFormat="1" applyFont="1" applyFill="1" applyBorder="1" applyAlignment="1">
      <alignment vertical="center" wrapText="1"/>
    </xf>
    <xf numFmtId="0" fontId="4" fillId="35" borderId="0" xfId="0" applyFont="1" applyFill="1" applyAlignment="1">
      <alignment vertical="center"/>
    </xf>
    <xf numFmtId="0" fontId="15" fillId="35" borderId="10" xfId="0" applyFont="1" applyFill="1" applyBorder="1" applyAlignment="1">
      <alignment horizontal="center" vertical="center" wrapText="1"/>
    </xf>
    <xf numFmtId="0" fontId="15" fillId="35" borderId="10" xfId="0" applyFont="1" applyFill="1" applyBorder="1" applyAlignment="1">
      <alignment horizontal="left" vertical="center" wrapText="1"/>
    </xf>
    <xf numFmtId="188" fontId="15" fillId="35" borderId="10" xfId="42" applyNumberFormat="1" applyFont="1" applyFill="1" applyBorder="1" applyAlignment="1">
      <alignment horizontal="right" vertical="center" wrapText="1"/>
    </xf>
    <xf numFmtId="180" fontId="15" fillId="35" borderId="10" xfId="0" applyNumberFormat="1" applyFont="1" applyFill="1" applyBorder="1" applyAlignment="1">
      <alignment vertical="center"/>
    </xf>
    <xf numFmtId="0" fontId="15" fillId="35" borderId="10" xfId="0" applyFont="1" applyFill="1" applyBorder="1" applyAlignment="1">
      <alignment vertical="center"/>
    </xf>
    <xf numFmtId="3" fontId="15" fillId="35" borderId="10" xfId="0" applyNumberFormat="1" applyFont="1" applyFill="1" applyBorder="1" applyAlignment="1">
      <alignment horizontal="right" vertical="center"/>
    </xf>
    <xf numFmtId="49" fontId="15" fillId="35" borderId="10" xfId="0" applyNumberFormat="1" applyFont="1" applyFill="1" applyBorder="1" applyAlignment="1">
      <alignment horizontal="left" vertical="center" wrapText="1"/>
    </xf>
    <xf numFmtId="3" fontId="5" fillId="0" borderId="14" xfId="42" applyNumberFormat="1" applyFont="1" applyFill="1" applyBorder="1" applyAlignment="1">
      <alignment horizontal="right" vertical="center" wrapText="1"/>
    </xf>
    <xf numFmtId="3" fontId="5" fillId="0" borderId="12" xfId="42" applyNumberFormat="1" applyFont="1" applyFill="1" applyBorder="1" applyAlignment="1">
      <alignment horizontal="right" vertical="center"/>
    </xf>
    <xf numFmtId="3" fontId="5" fillId="35" borderId="10" xfId="72" applyNumberFormat="1" applyFont="1" applyFill="1" applyBorder="1" applyAlignment="1">
      <alignment vertical="center"/>
      <protection/>
    </xf>
    <xf numFmtId="3" fontId="25" fillId="0" borderId="10" xfId="42" applyNumberFormat="1" applyFont="1" applyFill="1" applyBorder="1" applyAlignment="1">
      <alignment horizontal="right" vertical="center" wrapText="1"/>
    </xf>
    <xf numFmtId="3" fontId="5" fillId="0" borderId="10" xfId="42" applyNumberFormat="1" applyFont="1" applyFill="1" applyBorder="1" applyAlignment="1">
      <alignment horizontal="right" vertical="center" wrapText="1"/>
    </xf>
    <xf numFmtId="3" fontId="15" fillId="35" borderId="10" xfId="42" applyNumberFormat="1" applyFont="1" applyFill="1" applyBorder="1" applyAlignment="1">
      <alignment horizontal="right" vertical="center" wrapText="1"/>
    </xf>
    <xf numFmtId="3" fontId="15" fillId="35" borderId="10" xfId="0" applyNumberFormat="1" applyFont="1" applyFill="1" applyBorder="1" applyAlignment="1">
      <alignment horizontal="right" vertical="center" wrapText="1"/>
    </xf>
    <xf numFmtId="0" fontId="12" fillId="35" borderId="0" xfId="0" applyFont="1" applyFill="1" applyAlignment="1">
      <alignment vertical="center"/>
    </xf>
    <xf numFmtId="3" fontId="7" fillId="35" borderId="10" xfId="72" applyNumberFormat="1" applyFont="1" applyFill="1" applyBorder="1" applyAlignment="1">
      <alignment horizontal="left" vertical="center" wrapText="1"/>
      <protection/>
    </xf>
    <xf numFmtId="3" fontId="7" fillId="35" borderId="10" xfId="42" applyNumberFormat="1" applyFont="1" applyFill="1" applyBorder="1" applyAlignment="1">
      <alignment horizontal="right" vertical="center" wrapText="1"/>
    </xf>
    <xf numFmtId="0" fontId="9" fillId="35" borderId="0" xfId="0" applyFont="1" applyFill="1" applyAlignment="1">
      <alignment vertical="center"/>
    </xf>
    <xf numFmtId="0" fontId="15" fillId="35" borderId="10" xfId="0" applyFont="1" applyFill="1" applyBorder="1" applyAlignment="1">
      <alignment horizontal="left" vertical="center"/>
    </xf>
    <xf numFmtId="49" fontId="3" fillId="35" borderId="0" xfId="0" applyNumberFormat="1" applyFont="1" applyFill="1" applyAlignment="1">
      <alignment/>
    </xf>
    <xf numFmtId="0" fontId="3" fillId="35" borderId="0" xfId="0" applyFont="1" applyFill="1" applyAlignment="1">
      <alignment/>
    </xf>
    <xf numFmtId="0" fontId="36" fillId="35" borderId="0" xfId="0" applyFont="1" applyFill="1" applyBorder="1" applyAlignment="1">
      <alignment/>
    </xf>
    <xf numFmtId="0" fontId="36" fillId="35" borderId="0" xfId="0" applyFont="1" applyFill="1" applyAlignment="1">
      <alignment/>
    </xf>
    <xf numFmtId="0" fontId="23" fillId="35" borderId="0" xfId="0" applyFont="1" applyFill="1" applyAlignment="1">
      <alignment horizontal="center"/>
    </xf>
    <xf numFmtId="49" fontId="37" fillId="35" borderId="0" xfId="0" applyNumberFormat="1" applyFont="1" applyFill="1" applyAlignment="1">
      <alignment/>
    </xf>
    <xf numFmtId="0" fontId="11" fillId="35" borderId="0" xfId="0" applyFont="1" applyFill="1" applyBorder="1" applyAlignment="1">
      <alignment horizontal="center"/>
    </xf>
    <xf numFmtId="49" fontId="32" fillId="35" borderId="0" xfId="0" applyNumberFormat="1" applyFont="1" applyFill="1" applyBorder="1" applyAlignment="1">
      <alignment horizontal="center"/>
    </xf>
    <xf numFmtId="3" fontId="11" fillId="35" borderId="0" xfId="0" applyNumberFormat="1" applyFont="1" applyFill="1" applyBorder="1" applyAlignment="1">
      <alignment horizontal="center"/>
    </xf>
    <xf numFmtId="0" fontId="32" fillId="35" borderId="0" xfId="0" applyFont="1" applyFill="1" applyBorder="1" applyAlignment="1">
      <alignment horizontal="center"/>
    </xf>
    <xf numFmtId="3" fontId="36" fillId="35" borderId="0" xfId="0" applyNumberFormat="1" applyFont="1" applyFill="1" applyBorder="1" applyAlignment="1">
      <alignment/>
    </xf>
    <xf numFmtId="49" fontId="11" fillId="35" borderId="10" xfId="0" applyNumberFormat="1" applyFont="1" applyFill="1" applyBorder="1" applyAlignment="1">
      <alignment horizontal="center" vertical="center" wrapText="1"/>
    </xf>
    <xf numFmtId="0" fontId="11" fillId="35" borderId="0" xfId="0" applyFont="1" applyFill="1" applyBorder="1" applyAlignment="1">
      <alignment horizontal="center" vertical="center" wrapText="1"/>
    </xf>
    <xf numFmtId="188" fontId="39" fillId="35" borderId="0" xfId="0" applyNumberFormat="1" applyFont="1" applyFill="1" applyBorder="1" applyAlignment="1">
      <alignment horizontal="center" vertical="center" wrapText="1"/>
    </xf>
    <xf numFmtId="188" fontId="16" fillId="35" borderId="0" xfId="0" applyNumberFormat="1" applyFont="1" applyFill="1" applyAlignment="1">
      <alignment horizontal="center" vertical="center" wrapText="1"/>
    </xf>
    <xf numFmtId="0" fontId="16" fillId="35" borderId="0" xfId="0" applyFont="1" applyFill="1" applyAlignment="1">
      <alignment horizontal="center" vertical="center" wrapText="1"/>
    </xf>
    <xf numFmtId="3" fontId="16" fillId="35" borderId="0" xfId="0" applyNumberFormat="1" applyFont="1" applyFill="1" applyAlignment="1">
      <alignment horizontal="center" vertical="center" wrapText="1"/>
    </xf>
    <xf numFmtId="189" fontId="39" fillId="35" borderId="0" xfId="0" applyNumberFormat="1" applyFont="1" applyFill="1" applyBorder="1" applyAlignment="1">
      <alignment horizontal="center" vertical="center" wrapText="1"/>
    </xf>
    <xf numFmtId="179" fontId="39" fillId="35" borderId="0" xfId="0" applyNumberFormat="1" applyFont="1" applyFill="1" applyAlignment="1">
      <alignment horizontal="center" vertical="center" wrapText="1"/>
    </xf>
    <xf numFmtId="49" fontId="11" fillId="35" borderId="10" xfId="0" applyNumberFormat="1" applyFont="1" applyFill="1" applyBorder="1" applyAlignment="1">
      <alignment horizontal="left" vertical="center" wrapText="1"/>
    </xf>
    <xf numFmtId="3" fontId="3" fillId="35" borderId="10" xfId="42" applyNumberFormat="1" applyFont="1" applyFill="1" applyBorder="1" applyAlignment="1" applyProtection="1">
      <alignment horizontal="right" vertical="center" wrapText="1"/>
      <protection/>
    </xf>
    <xf numFmtId="3" fontId="11" fillId="35" borderId="10" xfId="42" applyNumberFormat="1" applyFont="1" applyFill="1" applyBorder="1" applyAlignment="1" applyProtection="1">
      <alignment horizontal="right" vertical="center" wrapText="1"/>
      <protection/>
    </xf>
    <xf numFmtId="3" fontId="11" fillId="35" borderId="0" xfId="42" applyNumberFormat="1" applyFont="1" applyFill="1" applyBorder="1" applyAlignment="1" applyProtection="1">
      <alignment horizontal="right" vertical="center" wrapText="1"/>
      <protection/>
    </xf>
    <xf numFmtId="188" fontId="39" fillId="35" borderId="0" xfId="0" applyNumberFormat="1" applyFont="1" applyFill="1" applyBorder="1" applyAlignment="1">
      <alignment/>
    </xf>
    <xf numFmtId="3" fontId="16" fillId="35" borderId="0" xfId="0" applyNumberFormat="1" applyFont="1" applyFill="1" applyAlignment="1">
      <alignment/>
    </xf>
    <xf numFmtId="0" fontId="16" fillId="35" borderId="0" xfId="0" applyFont="1" applyFill="1" applyAlignment="1">
      <alignment/>
    </xf>
    <xf numFmtId="3" fontId="3" fillId="35" borderId="10" xfId="0" applyNumberFormat="1" applyFont="1" applyFill="1" applyBorder="1" applyAlignment="1">
      <alignment horizontal="right" vertical="center" wrapText="1"/>
    </xf>
    <xf numFmtId="0" fontId="39" fillId="35" borderId="0" xfId="0" applyFont="1" applyFill="1" applyBorder="1" applyAlignment="1">
      <alignment/>
    </xf>
    <xf numFmtId="0" fontId="3" fillId="35" borderId="10" xfId="0" applyFont="1" applyFill="1" applyBorder="1" applyAlignment="1">
      <alignment horizontal="center" vertical="center" wrapText="1"/>
    </xf>
    <xf numFmtId="49" fontId="3" fillId="35" borderId="10" xfId="0" applyNumberFormat="1" applyFont="1" applyFill="1" applyBorder="1" applyAlignment="1">
      <alignment horizontal="left" vertical="center" wrapText="1"/>
    </xf>
    <xf numFmtId="3" fontId="11" fillId="35" borderId="15" xfId="42" applyNumberFormat="1" applyFont="1" applyFill="1" applyBorder="1" applyAlignment="1" applyProtection="1">
      <alignment horizontal="right" vertical="center" wrapText="1"/>
      <protection/>
    </xf>
    <xf numFmtId="188" fontId="39" fillId="35" borderId="15" xfId="42" applyNumberFormat="1" applyFont="1" applyFill="1" applyBorder="1" applyAlignment="1">
      <alignment/>
    </xf>
    <xf numFmtId="0" fontId="23" fillId="35" borderId="10" xfId="0" applyFont="1" applyFill="1" applyBorder="1" applyAlignment="1">
      <alignment horizontal="center" vertical="center" wrapText="1"/>
    </xf>
    <xf numFmtId="49" fontId="23" fillId="35" borderId="10" xfId="0" applyNumberFormat="1" applyFont="1" applyFill="1" applyBorder="1" applyAlignment="1" quotePrefix="1">
      <alignment horizontal="left" vertical="center" wrapText="1"/>
    </xf>
    <xf numFmtId="3" fontId="23" fillId="35" borderId="10" xfId="42" applyNumberFormat="1" applyFont="1" applyFill="1" applyBorder="1" applyAlignment="1" applyProtection="1">
      <alignment horizontal="right" vertical="center" wrapText="1"/>
      <protection/>
    </xf>
    <xf numFmtId="0" fontId="16" fillId="35" borderId="0" xfId="0" applyFont="1" applyFill="1" applyBorder="1" applyAlignment="1">
      <alignment/>
    </xf>
    <xf numFmtId="3" fontId="11" fillId="35" borderId="15" xfId="42" applyNumberFormat="1" applyFont="1" applyFill="1" applyBorder="1" applyAlignment="1" applyProtection="1">
      <alignment wrapText="1"/>
      <protection/>
    </xf>
    <xf numFmtId="0" fontId="40" fillId="35" borderId="0" xfId="0" applyFont="1" applyFill="1" applyAlignment="1">
      <alignment/>
    </xf>
    <xf numFmtId="49" fontId="23" fillId="35" borderId="10" xfId="0" applyNumberFormat="1" applyFont="1" applyFill="1" applyBorder="1" applyAlignment="1">
      <alignment horizontal="left" vertical="center" wrapText="1"/>
    </xf>
    <xf numFmtId="3" fontId="20" fillId="35" borderId="10" xfId="42" applyNumberFormat="1" applyFont="1" applyFill="1" applyBorder="1" applyAlignment="1" applyProtection="1">
      <alignment horizontal="right" vertical="center" wrapText="1"/>
      <protection/>
    </xf>
    <xf numFmtId="0" fontId="40" fillId="35" borderId="0" xfId="0" applyFont="1" applyFill="1" applyBorder="1" applyAlignment="1">
      <alignment/>
    </xf>
    <xf numFmtId="49" fontId="20" fillId="35" borderId="10" xfId="0" applyNumberFormat="1" applyFont="1" applyFill="1" applyBorder="1" applyAlignment="1">
      <alignment horizontal="left" vertical="center" wrapText="1"/>
    </xf>
    <xf numFmtId="3" fontId="41" fillId="35" borderId="10" xfId="42" applyNumberFormat="1" applyFont="1" applyFill="1" applyBorder="1" applyAlignment="1" applyProtection="1">
      <alignment horizontal="right" vertical="center" wrapText="1"/>
      <protection/>
    </xf>
    <xf numFmtId="0" fontId="39" fillId="35" borderId="0" xfId="0" applyFont="1" applyFill="1" applyAlignment="1">
      <alignment/>
    </xf>
    <xf numFmtId="3" fontId="39" fillId="35" borderId="0" xfId="0" applyNumberFormat="1" applyFont="1" applyFill="1" applyAlignment="1">
      <alignment/>
    </xf>
    <xf numFmtId="3" fontId="16" fillId="35" borderId="0" xfId="0" applyNumberFormat="1" applyFont="1" applyFill="1" applyBorder="1" applyAlignment="1">
      <alignment/>
    </xf>
    <xf numFmtId="49" fontId="20" fillId="35" borderId="10" xfId="0" applyNumberFormat="1" applyFont="1" applyFill="1" applyBorder="1" applyAlignment="1" quotePrefix="1">
      <alignment horizontal="left" vertical="center" wrapText="1"/>
    </xf>
    <xf numFmtId="185" fontId="16" fillId="35" borderId="0" xfId="0" applyNumberFormat="1" applyFont="1" applyFill="1" applyBorder="1" applyAlignment="1">
      <alignment/>
    </xf>
    <xf numFmtId="3" fontId="4" fillId="35" borderId="10" xfId="42" applyNumberFormat="1" applyFont="1" applyFill="1" applyBorder="1" applyAlignment="1" applyProtection="1">
      <alignment horizontal="right" vertical="center" wrapText="1"/>
      <protection/>
    </xf>
    <xf numFmtId="3" fontId="4" fillId="35" borderId="0" xfId="42" applyNumberFormat="1" applyFont="1" applyFill="1" applyBorder="1" applyAlignment="1" applyProtection="1">
      <alignment horizontal="right" vertical="center" wrapText="1"/>
      <protection/>
    </xf>
    <xf numFmtId="0" fontId="42" fillId="35" borderId="0" xfId="0" applyFont="1" applyFill="1" applyAlignment="1">
      <alignment/>
    </xf>
    <xf numFmtId="3" fontId="43" fillId="35" borderId="10" xfId="42" applyNumberFormat="1" applyFont="1" applyFill="1" applyBorder="1" applyAlignment="1" applyProtection="1">
      <alignment horizontal="right" vertical="center" wrapText="1"/>
      <protection/>
    </xf>
    <xf numFmtId="3" fontId="32" fillId="35" borderId="10" xfId="42" applyNumberFormat="1" applyFont="1" applyFill="1" applyBorder="1" applyAlignment="1" applyProtection="1">
      <alignment horizontal="right" vertical="center" wrapText="1"/>
      <protection/>
    </xf>
    <xf numFmtId="3" fontId="32" fillId="35" borderId="0" xfId="42" applyNumberFormat="1" applyFont="1" applyFill="1" applyBorder="1" applyAlignment="1" applyProtection="1">
      <alignment horizontal="right" vertical="center" wrapText="1"/>
      <protection/>
    </xf>
    <xf numFmtId="3" fontId="42" fillId="35" borderId="0" xfId="0" applyNumberFormat="1" applyFont="1" applyFill="1" applyAlignment="1">
      <alignment/>
    </xf>
    <xf numFmtId="49" fontId="32" fillId="35" borderId="10" xfId="0" applyNumberFormat="1" applyFont="1" applyFill="1" applyBorder="1" applyAlignment="1">
      <alignment horizontal="left" vertical="center" wrapText="1"/>
    </xf>
    <xf numFmtId="183" fontId="20" fillId="35" borderId="10" xfId="0" applyNumberFormat="1" applyFont="1" applyFill="1" applyBorder="1" applyAlignment="1">
      <alignment horizontal="right" vertical="center" wrapText="1"/>
    </xf>
    <xf numFmtId="0" fontId="20" fillId="35" borderId="10" xfId="0" applyFont="1" applyFill="1" applyBorder="1" applyAlignment="1">
      <alignment horizontal="right" vertical="center" wrapText="1"/>
    </xf>
    <xf numFmtId="3" fontId="17" fillId="35" borderId="10" xfId="72" applyNumberFormat="1" applyFont="1" applyFill="1" applyBorder="1" applyAlignment="1">
      <alignment horizontal="left" vertical="center" wrapText="1"/>
      <protection/>
    </xf>
    <xf numFmtId="3" fontId="17" fillId="35" borderId="10" xfId="0" applyNumberFormat="1" applyFont="1" applyFill="1" applyBorder="1" applyAlignment="1">
      <alignment horizontal="left" vertical="center" wrapText="1"/>
    </xf>
    <xf numFmtId="0" fontId="16" fillId="35" borderId="10" xfId="0" applyFont="1" applyFill="1" applyBorder="1" applyAlignment="1">
      <alignment/>
    </xf>
    <xf numFmtId="0" fontId="4" fillId="35" borderId="10" xfId="0" applyFont="1" applyFill="1" applyBorder="1" applyAlignment="1">
      <alignment horizontal="center" vertical="center" wrapText="1"/>
    </xf>
    <xf numFmtId="0" fontId="4" fillId="35" borderId="0" xfId="0" applyFont="1" applyFill="1" applyAlignment="1">
      <alignment horizontal="center"/>
    </xf>
    <xf numFmtId="49" fontId="16" fillId="35" borderId="0" xfId="0" applyNumberFormat="1" applyFont="1" applyFill="1" applyAlignment="1">
      <alignment/>
    </xf>
    <xf numFmtId="49" fontId="7" fillId="35" borderId="10" xfId="0" applyNumberFormat="1" applyFont="1" applyFill="1" applyBorder="1" applyAlignment="1">
      <alignment horizontal="left" vertical="center" wrapText="1"/>
    </xf>
    <xf numFmtId="0" fontId="7" fillId="35" borderId="10" xfId="0" applyFont="1" applyFill="1" applyBorder="1" applyAlignment="1">
      <alignment vertical="center"/>
    </xf>
    <xf numFmtId="180" fontId="7" fillId="35" borderId="10" xfId="0" applyNumberFormat="1" applyFont="1" applyFill="1" applyBorder="1" applyAlignment="1">
      <alignment vertical="center"/>
    </xf>
    <xf numFmtId="3" fontId="7" fillId="35" borderId="10" xfId="0" applyNumberFormat="1" applyFont="1" applyFill="1" applyBorder="1" applyAlignment="1">
      <alignment horizontal="right" vertical="center"/>
    </xf>
    <xf numFmtId="0" fontId="11" fillId="35" borderId="0" xfId="0" applyFont="1" applyFill="1" applyAlignment="1">
      <alignment vertical="center"/>
    </xf>
    <xf numFmtId="0" fontId="5" fillId="0" borderId="0" xfId="0" applyFont="1" applyFill="1" applyBorder="1" applyAlignment="1">
      <alignment horizontal="center" vertical="center"/>
    </xf>
    <xf numFmtId="0" fontId="5" fillId="33" borderId="0" xfId="0" applyFont="1" applyFill="1" applyBorder="1" applyAlignment="1">
      <alignment horizontal="center" vertical="center"/>
    </xf>
    <xf numFmtId="0" fontId="11" fillId="0" borderId="10" xfId="0" applyFont="1" applyFill="1" applyBorder="1" applyAlignment="1">
      <alignment horizontal="center" vertical="center"/>
    </xf>
    <xf numFmtId="0" fontId="5" fillId="0" borderId="14" xfId="0" applyFont="1" applyFill="1" applyBorder="1" applyAlignment="1">
      <alignment horizontal="center" vertical="center" wrapText="1"/>
    </xf>
    <xf numFmtId="3" fontId="15" fillId="0" borderId="10" xfId="74" applyNumberFormat="1" applyFont="1" applyFill="1" applyBorder="1" applyAlignment="1">
      <alignment horizontal="center" vertical="center" wrapText="1"/>
      <protection/>
    </xf>
    <xf numFmtId="0" fontId="5" fillId="0" borderId="0" xfId="0" applyFont="1" applyFill="1" applyAlignment="1">
      <alignment vertical="center"/>
    </xf>
    <xf numFmtId="0" fontId="36" fillId="0" borderId="0" xfId="0" applyFont="1" applyFill="1" applyAlignment="1">
      <alignment vertical="center"/>
    </xf>
    <xf numFmtId="180" fontId="23" fillId="0" borderId="0" xfId="42" applyNumberFormat="1" applyFont="1" applyFill="1" applyAlignment="1">
      <alignment vertical="center"/>
    </xf>
    <xf numFmtId="0" fontId="39" fillId="0" borderId="0" xfId="0" applyFont="1" applyFill="1" applyAlignment="1">
      <alignment vertical="center"/>
    </xf>
    <xf numFmtId="0" fontId="0" fillId="0" borderId="0" xfId="0" applyFont="1" applyFill="1" applyAlignment="1">
      <alignment vertical="center"/>
    </xf>
    <xf numFmtId="181" fontId="5" fillId="33"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3" fontId="5" fillId="33" borderId="10" xfId="42" applyNumberFormat="1" applyFont="1" applyFill="1" applyBorder="1" applyAlignment="1" applyProtection="1">
      <alignment vertical="center" wrapText="1"/>
      <protection/>
    </xf>
    <xf numFmtId="3" fontId="11" fillId="0" borderId="10" xfId="42" applyNumberFormat="1" applyFont="1" applyFill="1" applyBorder="1" applyAlignment="1" applyProtection="1">
      <alignment vertical="center" wrapText="1"/>
      <protection/>
    </xf>
    <xf numFmtId="3" fontId="4" fillId="0" borderId="10" xfId="42" applyNumberFormat="1" applyFont="1" applyFill="1" applyBorder="1" applyAlignment="1" applyProtection="1">
      <alignment vertical="center" wrapText="1"/>
      <protection/>
    </xf>
    <xf numFmtId="0" fontId="31" fillId="0" borderId="10" xfId="0" applyFont="1" applyFill="1" applyBorder="1" applyAlignment="1">
      <alignment vertical="center" wrapText="1"/>
    </xf>
    <xf numFmtId="0" fontId="25" fillId="0" borderId="10" xfId="0" applyFont="1" applyFill="1" applyBorder="1" applyAlignment="1">
      <alignment vertical="center" wrapText="1"/>
    </xf>
    <xf numFmtId="3" fontId="25" fillId="33" borderId="10" xfId="42" applyNumberFormat="1" applyFont="1" applyFill="1" applyBorder="1" applyAlignment="1" applyProtection="1">
      <alignment vertical="center" wrapText="1"/>
      <protection/>
    </xf>
    <xf numFmtId="0" fontId="31" fillId="0" borderId="10" xfId="0" applyFont="1" applyFill="1" applyBorder="1" applyAlignment="1">
      <alignment horizontal="center" vertical="center" wrapText="1"/>
    </xf>
    <xf numFmtId="0" fontId="31" fillId="0" borderId="10" xfId="0" applyFont="1" applyFill="1" applyBorder="1" applyAlignment="1">
      <alignment vertical="center"/>
    </xf>
    <xf numFmtId="3" fontId="31" fillId="33" borderId="10" xfId="0" applyNumberFormat="1" applyFont="1" applyFill="1" applyBorder="1" applyAlignment="1">
      <alignment vertical="center"/>
    </xf>
    <xf numFmtId="180" fontId="31" fillId="0" borderId="10" xfId="42" applyNumberFormat="1" applyFont="1" applyFill="1" applyBorder="1" applyAlignment="1">
      <alignment horizontal="right" vertical="center" wrapText="1"/>
    </xf>
    <xf numFmtId="3" fontId="31" fillId="33" borderId="10" xfId="42" applyNumberFormat="1" applyFont="1" applyFill="1" applyBorder="1" applyAlignment="1" applyProtection="1">
      <alignment vertical="center" wrapText="1"/>
      <protection/>
    </xf>
    <xf numFmtId="3" fontId="4" fillId="0" borderId="15" xfId="42" applyNumberFormat="1" applyFont="1" applyFill="1" applyBorder="1" applyAlignment="1" applyProtection="1">
      <alignment vertical="center" wrapText="1"/>
      <protection/>
    </xf>
    <xf numFmtId="0" fontId="4" fillId="0" borderId="10" xfId="0" applyFont="1" applyFill="1" applyBorder="1" applyAlignment="1">
      <alignment vertical="center"/>
    </xf>
    <xf numFmtId="183" fontId="4" fillId="0" borderId="10" xfId="0" applyNumberFormat="1" applyFont="1" applyFill="1" applyBorder="1" applyAlignment="1">
      <alignment vertical="center" wrapText="1"/>
    </xf>
    <xf numFmtId="183" fontId="29" fillId="0" borderId="10" xfId="0" applyNumberFormat="1" applyFont="1" applyFill="1" applyBorder="1" applyAlignment="1">
      <alignment vertical="center" wrapText="1"/>
    </xf>
    <xf numFmtId="190" fontId="8" fillId="0" borderId="16" xfId="49" applyNumberFormat="1" applyFont="1" applyFill="1" applyBorder="1" applyAlignment="1">
      <alignment horizontal="center" vertical="center"/>
    </xf>
    <xf numFmtId="190" fontId="8" fillId="0" borderId="16" xfId="49" applyNumberFormat="1" applyFont="1" applyBorder="1" applyAlignment="1">
      <alignment horizontal="center" vertical="center"/>
    </xf>
    <xf numFmtId="190" fontId="10" fillId="0" borderId="16" xfId="49" applyNumberFormat="1" applyFont="1" applyBorder="1" applyAlignment="1">
      <alignment horizontal="center" vertical="center"/>
    </xf>
    <xf numFmtId="190" fontId="10" fillId="0" borderId="16" xfId="49" applyNumberFormat="1" applyFont="1" applyFill="1" applyBorder="1" applyAlignment="1">
      <alignment horizontal="center" vertical="center"/>
    </xf>
    <xf numFmtId="180" fontId="12" fillId="0" borderId="16" xfId="42" applyNumberFormat="1" applyFont="1" applyBorder="1" applyAlignment="1">
      <alignment horizontal="center" vertical="center"/>
    </xf>
    <xf numFmtId="190" fontId="10" fillId="33" borderId="16" xfId="49" applyNumberFormat="1" applyFont="1" applyFill="1" applyBorder="1" applyAlignment="1">
      <alignment horizontal="center" vertical="center"/>
    </xf>
    <xf numFmtId="190" fontId="8" fillId="33" borderId="16" xfId="49" applyNumberFormat="1" applyFont="1" applyFill="1" applyBorder="1" applyAlignment="1">
      <alignment horizontal="center" vertical="center"/>
    </xf>
    <xf numFmtId="0" fontId="47" fillId="33" borderId="0" xfId="70" applyFont="1" applyFill="1" applyAlignment="1">
      <alignment horizontal="center" vertical="center"/>
      <protection/>
    </xf>
    <xf numFmtId="0" fontId="11" fillId="33" borderId="0" xfId="0" applyFont="1" applyFill="1" applyAlignment="1">
      <alignment horizontal="center" vertical="center"/>
    </xf>
    <xf numFmtId="0" fontId="3" fillId="33" borderId="0" xfId="0" applyFont="1" applyFill="1" applyAlignment="1">
      <alignment horizontal="center" vertical="center"/>
    </xf>
    <xf numFmtId="0" fontId="9" fillId="33" borderId="0" xfId="70" applyFont="1" applyFill="1" applyAlignment="1">
      <alignment horizontal="center" vertical="center"/>
      <protection/>
    </xf>
    <xf numFmtId="190" fontId="9" fillId="33" borderId="0" xfId="49" applyNumberFormat="1" applyFont="1" applyFill="1" applyAlignment="1">
      <alignment horizontal="center" vertical="center"/>
    </xf>
    <xf numFmtId="0" fontId="24" fillId="33" borderId="0" xfId="70" applyFont="1" applyFill="1" applyAlignment="1">
      <alignment vertical="center"/>
      <protection/>
    </xf>
    <xf numFmtId="0" fontId="24" fillId="33" borderId="0" xfId="70" applyFont="1" applyFill="1" applyAlignment="1">
      <alignment horizontal="center" vertical="center"/>
      <protection/>
    </xf>
    <xf numFmtId="190" fontId="3" fillId="33" borderId="0" xfId="49" applyNumberFormat="1" applyFont="1" applyFill="1" applyAlignment="1">
      <alignment horizontal="center" vertical="center"/>
    </xf>
    <xf numFmtId="190" fontId="11" fillId="33" borderId="0" xfId="49" applyNumberFormat="1" applyFont="1" applyFill="1" applyAlignment="1">
      <alignment horizontal="center" vertical="center"/>
    </xf>
    <xf numFmtId="190" fontId="47" fillId="33" borderId="0" xfId="49" applyNumberFormat="1" applyFont="1" applyFill="1" applyAlignment="1">
      <alignment horizontal="center" vertical="center"/>
    </xf>
    <xf numFmtId="3" fontId="31" fillId="33" borderId="0" xfId="67" applyNumberFormat="1" applyFont="1" applyFill="1" applyAlignment="1">
      <alignment horizontal="center" vertical="center"/>
      <protection/>
    </xf>
    <xf numFmtId="3" fontId="18" fillId="33" borderId="0" xfId="67" applyNumberFormat="1" applyFont="1" applyFill="1" applyAlignment="1">
      <alignment horizontal="center" vertical="center"/>
      <protection/>
    </xf>
    <xf numFmtId="190" fontId="24" fillId="33" borderId="0" xfId="49" applyNumberFormat="1" applyFont="1" applyFill="1" applyAlignment="1">
      <alignment horizontal="center" vertical="center"/>
    </xf>
    <xf numFmtId="0" fontId="47" fillId="33" borderId="10" xfId="70" applyFont="1" applyFill="1" applyBorder="1" applyAlignment="1">
      <alignment horizontal="center" vertical="center" wrapText="1"/>
      <protection/>
    </xf>
    <xf numFmtId="0" fontId="0" fillId="33" borderId="0" xfId="0" applyFont="1" applyFill="1" applyAlignment="1">
      <alignment vertical="center"/>
    </xf>
    <xf numFmtId="190" fontId="47" fillId="33" borderId="10" xfId="49" applyNumberFormat="1" applyFont="1" applyFill="1" applyBorder="1" applyAlignment="1">
      <alignment horizontal="center" vertical="center" wrapText="1"/>
    </xf>
    <xf numFmtId="0" fontId="24" fillId="33" borderId="10" xfId="70" applyFont="1" applyFill="1" applyBorder="1" applyAlignment="1">
      <alignment horizontal="center" vertical="center" wrapText="1"/>
      <protection/>
    </xf>
    <xf numFmtId="0" fontId="24" fillId="33" borderId="17" xfId="70" applyFont="1" applyFill="1" applyBorder="1" applyAlignment="1">
      <alignment horizontal="center" vertical="center" wrapText="1"/>
      <protection/>
    </xf>
    <xf numFmtId="0" fontId="8" fillId="33" borderId="18" xfId="70" applyFont="1" applyFill="1" applyBorder="1" applyAlignment="1">
      <alignment horizontal="center" vertical="center" wrapText="1"/>
      <protection/>
    </xf>
    <xf numFmtId="0" fontId="8" fillId="33" borderId="16" xfId="70" applyFont="1" applyFill="1" applyBorder="1" applyAlignment="1">
      <alignment horizontal="center" vertical="center"/>
      <protection/>
    </xf>
    <xf numFmtId="0" fontId="8" fillId="33" borderId="16" xfId="70" applyFont="1" applyFill="1" applyBorder="1" applyAlignment="1">
      <alignment horizontal="left" vertical="center"/>
      <protection/>
    </xf>
    <xf numFmtId="0" fontId="8" fillId="33" borderId="16" xfId="70" applyFont="1" applyFill="1" applyBorder="1" applyAlignment="1">
      <alignment vertical="center"/>
      <protection/>
    </xf>
    <xf numFmtId="9" fontId="8" fillId="33" borderId="16" xfId="70" applyNumberFormat="1" applyFont="1" applyFill="1" applyBorder="1" applyAlignment="1">
      <alignment horizontal="center" vertical="center"/>
      <protection/>
    </xf>
    <xf numFmtId="0" fontId="10" fillId="33" borderId="16" xfId="70" applyFont="1" applyFill="1" applyBorder="1" applyAlignment="1">
      <alignment horizontal="center" vertical="center"/>
      <protection/>
    </xf>
    <xf numFmtId="0" fontId="10" fillId="33" borderId="16" xfId="70" applyFont="1" applyFill="1" applyBorder="1" applyAlignment="1">
      <alignment vertical="center"/>
      <protection/>
    </xf>
    <xf numFmtId="9" fontId="10" fillId="33" borderId="16" xfId="70" applyNumberFormat="1" applyFont="1" applyFill="1" applyBorder="1" applyAlignment="1">
      <alignment horizontal="center" vertical="center"/>
      <protection/>
    </xf>
    <xf numFmtId="180" fontId="10" fillId="0" borderId="16" xfId="42" applyNumberFormat="1" applyFont="1" applyBorder="1" applyAlignment="1">
      <alignment horizontal="center" vertical="center"/>
    </xf>
    <xf numFmtId="2" fontId="8" fillId="33" borderId="16" xfId="70" applyNumberFormat="1" applyFont="1" applyFill="1" applyBorder="1" applyAlignment="1">
      <alignment horizontal="center" vertical="center"/>
      <protection/>
    </xf>
    <xf numFmtId="0" fontId="8" fillId="33" borderId="16" xfId="70" applyFont="1" applyFill="1" applyBorder="1" applyAlignment="1">
      <alignment vertical="center" wrapText="1"/>
      <protection/>
    </xf>
    <xf numFmtId="188" fontId="8" fillId="33" borderId="16" xfId="42" applyNumberFormat="1" applyFont="1" applyFill="1" applyBorder="1" applyAlignment="1">
      <alignment horizontal="center" vertical="center"/>
    </xf>
    <xf numFmtId="0" fontId="10" fillId="33" borderId="16" xfId="70" applyFont="1" applyFill="1" applyBorder="1" applyAlignment="1" quotePrefix="1">
      <alignment horizontal="center" vertical="center"/>
      <protection/>
    </xf>
    <xf numFmtId="0" fontId="10" fillId="33" borderId="16" xfId="70" applyFont="1" applyFill="1" applyBorder="1" applyAlignment="1">
      <alignment vertical="center" wrapText="1"/>
      <protection/>
    </xf>
    <xf numFmtId="191" fontId="8" fillId="33" borderId="16" xfId="49" applyNumberFormat="1" applyFont="1" applyFill="1" applyBorder="1" applyAlignment="1">
      <alignment horizontal="center" vertical="center"/>
    </xf>
    <xf numFmtId="0" fontId="8" fillId="33" borderId="16" xfId="70" applyFont="1" applyFill="1" applyBorder="1" applyAlignment="1">
      <alignment horizontal="center" vertical="center" wrapText="1"/>
      <protection/>
    </xf>
    <xf numFmtId="0" fontId="8" fillId="33" borderId="16" xfId="70" applyFont="1" applyFill="1" applyBorder="1" applyAlignment="1">
      <alignment horizontal="left" vertical="center" wrapText="1"/>
      <protection/>
    </xf>
    <xf numFmtId="2" fontId="8" fillId="33" borderId="16" xfId="70" applyNumberFormat="1" applyFont="1" applyFill="1" applyBorder="1" applyAlignment="1">
      <alignment horizontal="center" vertical="center" wrapText="1"/>
      <protection/>
    </xf>
    <xf numFmtId="190" fontId="8" fillId="33" borderId="16" xfId="49" applyNumberFormat="1" applyFont="1" applyFill="1" applyBorder="1" applyAlignment="1">
      <alignment horizontal="center" vertical="center" wrapText="1"/>
    </xf>
    <xf numFmtId="2" fontId="10" fillId="33" borderId="16" xfId="70" applyNumberFormat="1" applyFont="1" applyFill="1" applyBorder="1" applyAlignment="1" quotePrefix="1">
      <alignment horizontal="center" vertical="center"/>
      <protection/>
    </xf>
    <xf numFmtId="0" fontId="8" fillId="33" borderId="19" xfId="70" applyFont="1" applyFill="1" applyBorder="1" applyAlignment="1">
      <alignment horizontal="center" vertical="center"/>
      <protection/>
    </xf>
    <xf numFmtId="0" fontId="8" fillId="33" borderId="19" xfId="70" applyFont="1" applyFill="1" applyBorder="1" applyAlignment="1">
      <alignment vertical="center"/>
      <protection/>
    </xf>
    <xf numFmtId="0" fontId="10" fillId="33" borderId="19" xfId="70" applyFont="1" applyFill="1" applyBorder="1" applyAlignment="1">
      <alignment horizontal="center" vertical="center"/>
      <protection/>
    </xf>
    <xf numFmtId="0" fontId="10" fillId="33" borderId="19" xfId="70" applyFont="1" applyFill="1" applyBorder="1" applyAlignment="1">
      <alignment vertical="center"/>
      <protection/>
    </xf>
    <xf numFmtId="190" fontId="10" fillId="33" borderId="19" xfId="49" applyNumberFormat="1" applyFont="1" applyFill="1" applyBorder="1" applyAlignment="1">
      <alignment horizontal="center" vertical="center"/>
    </xf>
    <xf numFmtId="190" fontId="8" fillId="33" borderId="19" xfId="49" applyNumberFormat="1" applyFont="1" applyFill="1" applyBorder="1" applyAlignment="1">
      <alignment horizontal="center" vertical="center"/>
    </xf>
    <xf numFmtId="0" fontId="10" fillId="33" borderId="17" xfId="70" applyFont="1" applyFill="1" applyBorder="1" applyAlignment="1">
      <alignment horizontal="center" vertical="center"/>
      <protection/>
    </xf>
    <xf numFmtId="0" fontId="10" fillId="33" borderId="17" xfId="70" applyFont="1" applyFill="1" applyBorder="1" applyAlignment="1">
      <alignment vertical="center"/>
      <protection/>
    </xf>
    <xf numFmtId="0" fontId="8" fillId="33" borderId="17" xfId="70" applyFont="1" applyFill="1" applyBorder="1" applyAlignment="1">
      <alignment horizontal="center" vertical="center"/>
      <protection/>
    </xf>
    <xf numFmtId="190" fontId="10" fillId="33" borderId="17" xfId="49" applyNumberFormat="1" applyFont="1" applyFill="1" applyBorder="1" applyAlignment="1">
      <alignment horizontal="center" vertical="center"/>
    </xf>
    <xf numFmtId="0" fontId="0" fillId="33" borderId="0" xfId="0" applyFont="1" applyFill="1" applyAlignment="1">
      <alignment horizontal="center" vertical="center"/>
    </xf>
    <xf numFmtId="190" fontId="0" fillId="33" borderId="0" xfId="0" applyNumberFormat="1" applyFont="1" applyFill="1" applyAlignment="1">
      <alignment horizontal="center" vertical="center"/>
    </xf>
    <xf numFmtId="3" fontId="0" fillId="33" borderId="0" xfId="0" applyNumberFormat="1" applyFont="1" applyFill="1" applyAlignment="1">
      <alignment horizontal="center" vertical="center"/>
    </xf>
    <xf numFmtId="0" fontId="9" fillId="0" borderId="0" xfId="0" applyFont="1" applyAlignment="1">
      <alignment/>
    </xf>
    <xf numFmtId="0" fontId="12" fillId="0" borderId="0" xfId="0" applyFont="1" applyAlignment="1">
      <alignment/>
    </xf>
    <xf numFmtId="0" fontId="12" fillId="0" borderId="0" xfId="0" applyFont="1" applyFill="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center"/>
    </xf>
    <xf numFmtId="0" fontId="5" fillId="0" borderId="0" xfId="0" applyFont="1" applyFill="1" applyAlignment="1">
      <alignment/>
    </xf>
    <xf numFmtId="183" fontId="12" fillId="0" borderId="0" xfId="0" applyNumberFormat="1" applyFont="1" applyAlignment="1">
      <alignment/>
    </xf>
    <xf numFmtId="0" fontId="25" fillId="0" borderId="13" xfId="0" applyFont="1" applyBorder="1" applyAlignment="1">
      <alignment/>
    </xf>
    <xf numFmtId="0" fontId="10" fillId="0" borderId="0" xfId="0" applyFont="1" applyAlignment="1">
      <alignment/>
    </xf>
    <xf numFmtId="0" fontId="25" fillId="0" borderId="0" xfId="0" applyFont="1" applyBorder="1" applyAlignment="1">
      <alignment horizontal="center"/>
    </xf>
    <xf numFmtId="0" fontId="25" fillId="0" borderId="0" xfId="0" applyFont="1" applyBorder="1" applyAlignment="1">
      <alignment/>
    </xf>
    <xf numFmtId="0" fontId="11" fillId="0" borderId="10" xfId="0" applyFont="1" applyBorder="1" applyAlignment="1">
      <alignment horizontal="center" vertical="center" wrapText="1"/>
    </xf>
    <xf numFmtId="3" fontId="5" fillId="0" borderId="10" xfId="0" applyNumberFormat="1" applyFont="1" applyBorder="1" applyAlignment="1">
      <alignment horizontal="center"/>
    </xf>
    <xf numFmtId="3" fontId="11" fillId="0" borderId="10" xfId="0" applyNumberFormat="1" applyFont="1" applyBorder="1" applyAlignment="1">
      <alignment/>
    </xf>
    <xf numFmtId="3" fontId="11" fillId="0" borderId="10" xfId="0" applyNumberFormat="1" applyFont="1" applyBorder="1" applyAlignment="1">
      <alignment horizontal="right"/>
    </xf>
    <xf numFmtId="3" fontId="11" fillId="0" borderId="10" xfId="0" applyNumberFormat="1" applyFont="1" applyFill="1" applyBorder="1" applyAlignment="1">
      <alignment horizontal="right"/>
    </xf>
    <xf numFmtId="3" fontId="4" fillId="0" borderId="10" xfId="0" applyNumberFormat="1" applyFont="1" applyBorder="1" applyAlignment="1">
      <alignment horizontal="center"/>
    </xf>
    <xf numFmtId="183" fontId="4" fillId="0" borderId="10" xfId="0" applyNumberFormat="1" applyFont="1" applyFill="1" applyBorder="1" applyAlignment="1">
      <alignment horizontal="right"/>
    </xf>
    <xf numFmtId="3" fontId="4" fillId="0" borderId="10" xfId="0" applyNumberFormat="1" applyFont="1" applyFill="1" applyBorder="1" applyAlignment="1">
      <alignment horizontal="right"/>
    </xf>
    <xf numFmtId="3" fontId="4" fillId="0" borderId="10" xfId="0" applyNumberFormat="1" applyFont="1" applyBorder="1" applyAlignment="1">
      <alignment/>
    </xf>
    <xf numFmtId="3" fontId="4" fillId="0" borderId="10" xfId="42" applyNumberFormat="1" applyFont="1" applyFill="1" applyBorder="1" applyAlignment="1">
      <alignment/>
    </xf>
    <xf numFmtId="3" fontId="4" fillId="0" borderId="10" xfId="42" applyNumberFormat="1" applyFont="1" applyFill="1" applyBorder="1" applyAlignment="1">
      <alignment/>
    </xf>
    <xf numFmtId="3" fontId="11" fillId="0" borderId="10" xfId="42" applyNumberFormat="1" applyFont="1" applyFill="1" applyBorder="1" applyAlignment="1">
      <alignment/>
    </xf>
    <xf numFmtId="3" fontId="4" fillId="0" borderId="10" xfId="42" applyNumberFormat="1" applyFont="1" applyBorder="1" applyAlignment="1">
      <alignment/>
    </xf>
    <xf numFmtId="3" fontId="11" fillId="0" borderId="10" xfId="42" applyNumberFormat="1" applyFont="1" applyBorder="1" applyAlignment="1">
      <alignment/>
    </xf>
    <xf numFmtId="188" fontId="4" fillId="0" borderId="10" xfId="42" applyNumberFormat="1" applyFont="1" applyBorder="1" applyAlignment="1">
      <alignment/>
    </xf>
    <xf numFmtId="3" fontId="4" fillId="0" borderId="0" xfId="0" applyNumberFormat="1" applyFont="1" applyAlignment="1">
      <alignment/>
    </xf>
    <xf numFmtId="0" fontId="4" fillId="0" borderId="0" xfId="0" applyFont="1" applyFill="1" applyAlignment="1">
      <alignment/>
    </xf>
    <xf numFmtId="3" fontId="4" fillId="33" borderId="10" xfId="42" applyNumberFormat="1" applyFont="1" applyFill="1" applyBorder="1" applyAlignment="1">
      <alignment/>
    </xf>
    <xf numFmtId="0" fontId="5" fillId="0" borderId="0" xfId="0" applyFont="1" applyAlignment="1">
      <alignment/>
    </xf>
    <xf numFmtId="0" fontId="49" fillId="0" borderId="0" xfId="0" applyFont="1" applyAlignment="1">
      <alignment/>
    </xf>
    <xf numFmtId="0" fontId="15" fillId="0" borderId="0" xfId="0" applyFont="1" applyAlignment="1">
      <alignment/>
    </xf>
    <xf numFmtId="3" fontId="15" fillId="0" borderId="0" xfId="0" applyNumberFormat="1" applyFont="1" applyFill="1" applyAlignment="1">
      <alignment/>
    </xf>
    <xf numFmtId="0" fontId="4" fillId="0" borderId="0" xfId="0" applyFont="1" applyFill="1" applyAlignment="1">
      <alignment/>
    </xf>
    <xf numFmtId="0" fontId="11" fillId="0" borderId="0" xfId="0" applyFont="1" applyAlignment="1">
      <alignment/>
    </xf>
    <xf numFmtId="0" fontId="12" fillId="0" borderId="0" xfId="0" applyFont="1" applyFill="1" applyAlignment="1">
      <alignment/>
    </xf>
    <xf numFmtId="0" fontId="4" fillId="0" borderId="0" xfId="67" applyFont="1" applyFill="1">
      <alignment/>
      <protection/>
    </xf>
    <xf numFmtId="0" fontId="3" fillId="0" borderId="0" xfId="67" applyFont="1" applyFill="1" applyAlignment="1">
      <alignment/>
      <protection/>
    </xf>
    <xf numFmtId="0" fontId="7" fillId="0" borderId="0" xfId="67" applyFont="1" applyFill="1" applyAlignment="1">
      <alignment/>
      <protection/>
    </xf>
    <xf numFmtId="0" fontId="9" fillId="0" borderId="0" xfId="67" applyFont="1" applyFill="1" applyAlignment="1">
      <alignment/>
      <protection/>
    </xf>
    <xf numFmtId="0" fontId="3" fillId="0" borderId="0" xfId="67" applyFont="1" applyFill="1" applyAlignment="1">
      <alignment horizontal="center"/>
      <protection/>
    </xf>
    <xf numFmtId="3" fontId="4" fillId="0" borderId="0" xfId="67" applyNumberFormat="1" applyFont="1" applyFill="1">
      <alignment/>
      <protection/>
    </xf>
    <xf numFmtId="3" fontId="11" fillId="0" borderId="0" xfId="67" applyNumberFormat="1" applyFont="1" applyFill="1" applyAlignment="1">
      <alignment/>
      <protection/>
    </xf>
    <xf numFmtId="3" fontId="11" fillId="0" borderId="0" xfId="67" applyNumberFormat="1" applyFont="1" applyFill="1" applyAlignment="1">
      <alignment horizontal="center"/>
      <protection/>
    </xf>
    <xf numFmtId="0" fontId="5" fillId="0" borderId="0" xfId="67" applyFont="1" applyFill="1" applyAlignment="1">
      <alignment horizontal="center"/>
      <protection/>
    </xf>
    <xf numFmtId="0" fontId="5" fillId="0" borderId="0" xfId="67" applyFont="1" applyFill="1" applyAlignment="1">
      <alignment/>
      <protection/>
    </xf>
    <xf numFmtId="3" fontId="5" fillId="0" borderId="0" xfId="67" applyNumberFormat="1" applyFont="1" applyFill="1" applyAlignment="1">
      <alignment horizontal="center"/>
      <protection/>
    </xf>
    <xf numFmtId="3" fontId="25" fillId="0" borderId="0" xfId="67" applyNumberFormat="1" applyFont="1" applyFill="1" applyAlignment="1">
      <alignment horizontal="center"/>
      <protection/>
    </xf>
    <xf numFmtId="0" fontId="25" fillId="0" borderId="0" xfId="67" applyFont="1" applyFill="1">
      <alignment/>
      <protection/>
    </xf>
    <xf numFmtId="3" fontId="25" fillId="0" borderId="0" xfId="67" applyNumberFormat="1" applyFont="1" applyFill="1">
      <alignment/>
      <protection/>
    </xf>
    <xf numFmtId="3" fontId="5" fillId="0" borderId="0" xfId="67" applyNumberFormat="1" applyFont="1" applyFill="1" applyAlignment="1">
      <alignment/>
      <protection/>
    </xf>
    <xf numFmtId="185" fontId="5" fillId="0" borderId="0" xfId="67" applyNumberFormat="1" applyFont="1" applyFill="1" applyAlignment="1">
      <alignment/>
      <protection/>
    </xf>
    <xf numFmtId="3" fontId="31" fillId="0" borderId="0" xfId="67" applyNumberFormat="1" applyFont="1" applyFill="1" applyAlignment="1">
      <alignment/>
      <protection/>
    </xf>
    <xf numFmtId="185" fontId="31" fillId="0" borderId="0" xfId="67" applyNumberFormat="1" applyFont="1" applyFill="1" applyAlignment="1">
      <alignment/>
      <protection/>
    </xf>
    <xf numFmtId="3" fontId="23" fillId="0" borderId="0" xfId="67" applyNumberFormat="1" applyFont="1" applyFill="1">
      <alignment/>
      <protection/>
    </xf>
    <xf numFmtId="3" fontId="3" fillId="0" borderId="0" xfId="67" applyNumberFormat="1" applyFont="1" applyFill="1">
      <alignment/>
      <protection/>
    </xf>
    <xf numFmtId="3" fontId="7" fillId="0" borderId="0" xfId="67" applyNumberFormat="1" applyFont="1" applyFill="1">
      <alignment/>
      <protection/>
    </xf>
    <xf numFmtId="3" fontId="9" fillId="0" borderId="0" xfId="67" applyNumberFormat="1" applyFont="1" applyFill="1">
      <alignment/>
      <protection/>
    </xf>
    <xf numFmtId="192" fontId="3" fillId="0" borderId="0" xfId="48" applyFont="1" applyFill="1" applyAlignment="1">
      <alignment/>
    </xf>
    <xf numFmtId="3" fontId="23" fillId="0" borderId="0" xfId="67" applyNumberFormat="1" applyFont="1" applyFill="1" applyAlignment="1">
      <alignment horizontal="center"/>
      <protection/>
    </xf>
    <xf numFmtId="3" fontId="23" fillId="0" borderId="0" xfId="67" applyNumberFormat="1" applyFont="1" applyFill="1" applyBorder="1" applyAlignment="1">
      <alignment horizontal="left"/>
      <protection/>
    </xf>
    <xf numFmtId="0" fontId="23" fillId="0" borderId="0" xfId="67" applyFont="1" applyFill="1">
      <alignment/>
      <protection/>
    </xf>
    <xf numFmtId="3" fontId="3" fillId="0" borderId="0" xfId="67" applyNumberFormat="1" applyFont="1" applyFill="1" applyAlignment="1">
      <alignment horizontal="justify" vertical="justify"/>
      <protection/>
    </xf>
    <xf numFmtId="3" fontId="23" fillId="0" borderId="0" xfId="67" applyNumberFormat="1" applyFont="1" applyFill="1" applyAlignment="1">
      <alignment horizontal="justify" vertical="justify"/>
      <protection/>
    </xf>
    <xf numFmtId="3" fontId="23" fillId="0" borderId="0" xfId="67" applyNumberFormat="1" applyFont="1" applyFill="1" applyBorder="1" applyAlignment="1">
      <alignment horizontal="center"/>
      <protection/>
    </xf>
    <xf numFmtId="3" fontId="9" fillId="0" borderId="10" xfId="74" applyNumberFormat="1" applyFont="1" applyFill="1" applyBorder="1" applyAlignment="1">
      <alignment horizontal="center" vertical="center" wrapText="1"/>
      <protection/>
    </xf>
    <xf numFmtId="3" fontId="12" fillId="0" borderId="10" xfId="74" applyNumberFormat="1" applyFont="1" applyFill="1" applyBorder="1" applyAlignment="1">
      <alignment horizontal="center" vertical="center" wrapText="1"/>
      <protection/>
    </xf>
    <xf numFmtId="3" fontId="10" fillId="0" borderId="10" xfId="74" applyNumberFormat="1" applyFont="1" applyFill="1" applyBorder="1" applyAlignment="1">
      <alignment horizontal="center" vertical="center" wrapText="1"/>
      <protection/>
    </xf>
    <xf numFmtId="3" fontId="7" fillId="0" borderId="10" xfId="42" applyNumberFormat="1" applyFont="1" applyFill="1" applyBorder="1" applyAlignment="1">
      <alignment horizontal="right" vertical="center"/>
    </xf>
    <xf numFmtId="0" fontId="7" fillId="0" borderId="0" xfId="0" applyFont="1" applyAlignment="1">
      <alignment/>
    </xf>
    <xf numFmtId="179" fontId="15" fillId="0" borderId="10" xfId="42" applyFont="1" applyFill="1" applyBorder="1" applyAlignment="1">
      <alignment horizontal="center" vertical="center" wrapText="1"/>
    </xf>
    <xf numFmtId="3" fontId="9" fillId="33" borderId="10" xfId="74" applyNumberFormat="1" applyFont="1" applyFill="1" applyBorder="1" applyAlignment="1">
      <alignment horizontal="center" vertical="center" wrapText="1"/>
      <protection/>
    </xf>
    <xf numFmtId="3" fontId="7" fillId="33" borderId="10" xfId="42" applyNumberFormat="1" applyFont="1" applyFill="1" applyBorder="1" applyAlignment="1">
      <alignment horizontal="right" vertical="center"/>
    </xf>
    <xf numFmtId="3" fontId="7" fillId="33" borderId="12" xfId="42" applyNumberFormat="1" applyFont="1" applyFill="1" applyBorder="1" applyAlignment="1">
      <alignment horizontal="right" vertical="center"/>
    </xf>
    <xf numFmtId="3" fontId="15" fillId="0" borderId="17" xfId="42" applyNumberFormat="1" applyFont="1" applyFill="1" applyBorder="1" applyAlignment="1">
      <alignment horizontal="right" vertical="center"/>
    </xf>
    <xf numFmtId="3" fontId="7" fillId="0" borderId="17" xfId="42" applyNumberFormat="1" applyFont="1" applyFill="1" applyBorder="1" applyAlignment="1">
      <alignment horizontal="right" vertical="center"/>
    </xf>
    <xf numFmtId="0" fontId="15" fillId="0" borderId="0" xfId="0" applyFont="1" applyFill="1" applyAlignment="1">
      <alignment/>
    </xf>
    <xf numFmtId="3" fontId="7" fillId="0" borderId="0" xfId="74" applyNumberFormat="1" applyFont="1" applyFill="1" applyBorder="1" applyAlignment="1">
      <alignment horizontal="center" vertical="center" wrapText="1"/>
      <protection/>
    </xf>
    <xf numFmtId="3" fontId="7" fillId="0" borderId="0" xfId="74" applyNumberFormat="1" applyFont="1" applyFill="1" applyBorder="1" applyAlignment="1">
      <alignment horizontal="left" vertical="center" wrapText="1"/>
      <protection/>
    </xf>
    <xf numFmtId="3" fontId="9" fillId="0" borderId="0" xfId="74" applyNumberFormat="1" applyFont="1" applyFill="1" applyBorder="1" applyAlignment="1">
      <alignment horizontal="center" vertical="center" wrapText="1"/>
      <protection/>
    </xf>
    <xf numFmtId="3" fontId="7" fillId="0" borderId="0" xfId="42" applyNumberFormat="1" applyFont="1" applyFill="1" applyBorder="1" applyAlignment="1">
      <alignment horizontal="right" vertical="center"/>
    </xf>
    <xf numFmtId="3" fontId="15" fillId="0" borderId="0" xfId="42" applyNumberFormat="1" applyFont="1" applyFill="1" applyBorder="1" applyAlignment="1">
      <alignment horizontal="right" vertical="center"/>
    </xf>
    <xf numFmtId="3" fontId="3" fillId="0" borderId="0" xfId="67" applyNumberFormat="1" applyFont="1" applyFill="1" applyBorder="1">
      <alignment/>
      <protection/>
    </xf>
    <xf numFmtId="3" fontId="44" fillId="0" borderId="0" xfId="67" applyNumberFormat="1" applyFont="1" applyFill="1" applyBorder="1">
      <alignment/>
      <protection/>
    </xf>
    <xf numFmtId="0" fontId="7" fillId="0" borderId="0" xfId="67" applyFont="1" applyFill="1">
      <alignment/>
      <protection/>
    </xf>
    <xf numFmtId="0" fontId="0" fillId="0" borderId="0" xfId="0" applyFont="1" applyAlignment="1">
      <alignment/>
    </xf>
    <xf numFmtId="0" fontId="15" fillId="0" borderId="0" xfId="67" applyFont="1" applyFill="1" quotePrefix="1">
      <alignment/>
      <protection/>
    </xf>
    <xf numFmtId="0" fontId="15" fillId="0" borderId="0" xfId="0" applyFont="1" applyAlignment="1" quotePrefix="1">
      <alignment/>
    </xf>
    <xf numFmtId="0" fontId="15" fillId="0" borderId="0" xfId="67" applyFont="1" applyFill="1">
      <alignment/>
      <protection/>
    </xf>
    <xf numFmtId="0" fontId="12" fillId="0" borderId="0" xfId="67" applyFont="1" applyFill="1">
      <alignment/>
      <protection/>
    </xf>
    <xf numFmtId="192" fontId="4" fillId="0" borderId="0" xfId="48" applyFont="1" applyFill="1" applyAlignment="1">
      <alignment/>
    </xf>
    <xf numFmtId="0" fontId="11" fillId="35" borderId="0" xfId="0" applyFont="1" applyFill="1" applyAlignment="1">
      <alignment horizontal="center" vertical="center"/>
    </xf>
    <xf numFmtId="0" fontId="31" fillId="35" borderId="0" xfId="0" applyFont="1" applyFill="1" applyBorder="1" applyAlignment="1">
      <alignment horizontal="center" vertical="center"/>
    </xf>
    <xf numFmtId="3" fontId="12" fillId="35" borderId="10" xfId="0" applyNumberFormat="1" applyFont="1" applyFill="1" applyBorder="1" applyAlignment="1">
      <alignment horizontal="center" vertical="center" wrapText="1"/>
    </xf>
    <xf numFmtId="3" fontId="7" fillId="35" borderId="10" xfId="0" applyNumberFormat="1" applyFont="1" applyFill="1" applyBorder="1" applyAlignment="1">
      <alignment horizontal="right" vertical="center" wrapText="1"/>
    </xf>
    <xf numFmtId="1" fontId="15" fillId="35" borderId="10" xfId="0" applyNumberFormat="1" applyFont="1" applyFill="1" applyBorder="1" applyAlignment="1">
      <alignment horizontal="right" vertical="center" wrapText="1"/>
    </xf>
    <xf numFmtId="1" fontId="15" fillId="35" borderId="10" xfId="0" applyNumberFormat="1" applyFont="1" applyFill="1" applyBorder="1" applyAlignment="1">
      <alignment horizontal="right" vertical="center"/>
    </xf>
    <xf numFmtId="3" fontId="7" fillId="35" borderId="10" xfId="0" applyNumberFormat="1" applyFont="1" applyFill="1" applyBorder="1" applyAlignment="1">
      <alignment vertical="center" wrapText="1"/>
    </xf>
    <xf numFmtId="3" fontId="15" fillId="35" borderId="10" xfId="42" applyNumberFormat="1" applyFont="1" applyFill="1" applyBorder="1" applyAlignment="1">
      <alignment horizontal="right" vertical="center"/>
    </xf>
    <xf numFmtId="3" fontId="17" fillId="35" borderId="10" xfId="42" applyNumberFormat="1" applyFont="1" applyFill="1" applyBorder="1" applyAlignment="1">
      <alignment horizontal="right" vertical="center" wrapText="1"/>
    </xf>
    <xf numFmtId="0" fontId="11" fillId="0" borderId="0" xfId="0" applyFont="1" applyAlignment="1">
      <alignment vertical="center"/>
    </xf>
    <xf numFmtId="0" fontId="11" fillId="0" borderId="0" xfId="0" applyFont="1" applyAlignment="1">
      <alignment horizontal="left" vertical="center"/>
    </xf>
    <xf numFmtId="3" fontId="11" fillId="0" borderId="0" xfId="0" applyNumberFormat="1" applyFont="1" applyAlignment="1">
      <alignment horizontal="center" vertical="center"/>
    </xf>
    <xf numFmtId="3" fontId="11" fillId="0" borderId="0" xfId="0" applyNumberFormat="1" applyFont="1" applyAlignment="1">
      <alignment vertical="center"/>
    </xf>
    <xf numFmtId="0" fontId="4" fillId="0" borderId="0" xfId="0" applyFont="1" applyAlignment="1">
      <alignment vertical="center"/>
    </xf>
    <xf numFmtId="0" fontId="11" fillId="0" borderId="0" xfId="0" applyFont="1" applyBorder="1" applyAlignment="1">
      <alignment horizontal="center" vertical="center" wrapText="1"/>
    </xf>
    <xf numFmtId="0" fontId="11" fillId="0" borderId="10" xfId="0" applyFont="1" applyBorder="1" applyAlignment="1">
      <alignment horizontal="center" vertical="center"/>
    </xf>
    <xf numFmtId="3" fontId="11" fillId="0" borderId="10" xfId="0" applyNumberFormat="1" applyFont="1" applyBorder="1" applyAlignment="1">
      <alignment horizontal="right" vertical="center"/>
    </xf>
    <xf numFmtId="0" fontId="11" fillId="0" borderId="10" xfId="0" applyFont="1" applyBorder="1" applyAlignment="1">
      <alignment horizontal="left" vertical="center"/>
    </xf>
    <xf numFmtId="3" fontId="11" fillId="0" borderId="10" xfId="0" applyNumberFormat="1" applyFont="1" applyBorder="1" applyAlignment="1">
      <alignment vertical="center"/>
    </xf>
    <xf numFmtId="3" fontId="4"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1" fillId="0" borderId="10" xfId="0" applyNumberFormat="1" applyFont="1" applyFill="1" applyBorder="1" applyAlignment="1">
      <alignment vertical="center"/>
    </xf>
    <xf numFmtId="3" fontId="32" fillId="0" borderId="10" xfId="0" applyNumberFormat="1" applyFont="1" applyFill="1" applyBorder="1" applyAlignment="1">
      <alignment vertical="center"/>
    </xf>
    <xf numFmtId="0" fontId="4" fillId="0" borderId="10" xfId="0" applyFont="1" applyFill="1" applyBorder="1" applyAlignment="1">
      <alignment horizontal="right" vertical="center"/>
    </xf>
    <xf numFmtId="0" fontId="4" fillId="0" borderId="10" xfId="69" applyFont="1" applyFill="1" applyBorder="1" applyAlignment="1">
      <alignment horizontal="center" vertical="center" wrapText="1"/>
      <protection/>
    </xf>
    <xf numFmtId="49" fontId="4" fillId="0" borderId="10" xfId="0" applyNumberFormat="1" applyFont="1" applyFill="1" applyBorder="1" applyAlignment="1">
      <alignment horizontal="left" vertical="center" wrapText="1"/>
    </xf>
    <xf numFmtId="179" fontId="4" fillId="0" borderId="10" xfId="69" applyNumberFormat="1" applyFont="1" applyFill="1" applyBorder="1">
      <alignment/>
      <protection/>
    </xf>
    <xf numFmtId="49" fontId="3" fillId="35" borderId="0" xfId="0" applyNumberFormat="1" applyFont="1" applyFill="1" applyAlignment="1">
      <alignment horizontal="right"/>
    </xf>
    <xf numFmtId="49" fontId="37" fillId="35" borderId="0" xfId="0" applyNumberFormat="1" applyFont="1" applyFill="1" applyAlignment="1">
      <alignment horizontal="right"/>
    </xf>
    <xf numFmtId="49" fontId="38" fillId="35" borderId="0" xfId="0" applyNumberFormat="1" applyFont="1" applyFill="1" applyBorder="1" applyAlignment="1">
      <alignment horizontal="right"/>
    </xf>
    <xf numFmtId="49" fontId="3" fillId="35" borderId="10" xfId="0" applyNumberFormat="1" applyFont="1" applyFill="1" applyBorder="1" applyAlignment="1">
      <alignment horizontal="center" vertical="center" wrapText="1"/>
    </xf>
    <xf numFmtId="3" fontId="23" fillId="35" borderId="10" xfId="0" applyNumberFormat="1" applyFont="1" applyFill="1" applyBorder="1" applyAlignment="1">
      <alignment horizontal="right" vertical="center" wrapText="1"/>
    </xf>
    <xf numFmtId="3" fontId="20" fillId="35" borderId="10" xfId="0" applyNumberFormat="1" applyFont="1" applyFill="1" applyBorder="1" applyAlignment="1">
      <alignment horizontal="right" vertical="center" wrapText="1"/>
    </xf>
    <xf numFmtId="0" fontId="12" fillId="35" borderId="10" xfId="0" applyFont="1" applyFill="1" applyBorder="1" applyAlignment="1">
      <alignment horizontal="center" vertical="center" wrapText="1"/>
    </xf>
    <xf numFmtId="3" fontId="3" fillId="35" borderId="10" xfId="0" applyNumberFormat="1" applyFont="1" applyFill="1" applyBorder="1" applyAlignment="1" quotePrefix="1">
      <alignment horizontal="right" vertical="center" wrapText="1"/>
    </xf>
    <xf numFmtId="3" fontId="39" fillId="35" borderId="15" xfId="0" applyNumberFormat="1" applyFont="1" applyFill="1" applyBorder="1" applyAlignment="1">
      <alignment/>
    </xf>
    <xf numFmtId="49" fontId="4" fillId="35" borderId="10" xfId="0" applyNumberFormat="1" applyFont="1" applyFill="1" applyBorder="1" applyAlignment="1">
      <alignment horizontal="left" vertical="center" wrapText="1"/>
    </xf>
    <xf numFmtId="183" fontId="23" fillId="35" borderId="10" xfId="42" applyNumberFormat="1" applyFont="1" applyFill="1" applyBorder="1" applyAlignment="1" applyProtection="1">
      <alignment horizontal="right" vertical="center" wrapText="1"/>
      <protection/>
    </xf>
    <xf numFmtId="0" fontId="3" fillId="35" borderId="10" xfId="0" applyFont="1" applyFill="1" applyBorder="1" applyAlignment="1">
      <alignment horizontal="left" vertical="center" wrapText="1"/>
    </xf>
    <xf numFmtId="0" fontId="23" fillId="35" borderId="10" xfId="0" applyFont="1" applyFill="1" applyBorder="1" applyAlignment="1">
      <alignment horizontal="right" vertical="center" wrapText="1"/>
    </xf>
    <xf numFmtId="183" fontId="3" fillId="35" borderId="10" xfId="42" applyNumberFormat="1" applyFont="1" applyFill="1" applyBorder="1" applyAlignment="1" applyProtection="1">
      <alignment horizontal="right" vertical="center" wrapText="1"/>
      <protection/>
    </xf>
    <xf numFmtId="0" fontId="23" fillId="35" borderId="10" xfId="0" applyFont="1" applyFill="1" applyBorder="1" applyAlignment="1">
      <alignment horizontal="left" vertical="center" wrapText="1"/>
    </xf>
    <xf numFmtId="183" fontId="23" fillId="35" borderId="10" xfId="0" applyNumberFormat="1" applyFont="1" applyFill="1" applyBorder="1" applyAlignment="1">
      <alignment horizontal="right" vertical="center" wrapText="1"/>
    </xf>
    <xf numFmtId="0" fontId="31" fillId="35" borderId="10" xfId="0" applyFont="1" applyFill="1" applyBorder="1" applyAlignment="1">
      <alignment horizontal="center" vertical="center" wrapText="1"/>
    </xf>
    <xf numFmtId="0" fontId="31" fillId="35" borderId="10" xfId="0" applyFont="1" applyFill="1" applyBorder="1" applyAlignment="1">
      <alignment vertical="center" wrapText="1"/>
    </xf>
    <xf numFmtId="180" fontId="31" fillId="35" borderId="10" xfId="42" applyNumberFormat="1" applyFont="1" applyFill="1" applyBorder="1" applyAlignment="1">
      <alignment horizontal="right" vertical="center" wrapText="1"/>
    </xf>
    <xf numFmtId="3" fontId="31" fillId="35" borderId="10" xfId="42" applyNumberFormat="1" applyFont="1" applyFill="1" applyBorder="1" applyAlignment="1" applyProtection="1">
      <alignment vertical="center" wrapText="1"/>
      <protection/>
    </xf>
    <xf numFmtId="3" fontId="4" fillId="35" borderId="15" xfId="42" applyNumberFormat="1" applyFont="1" applyFill="1" applyBorder="1" applyAlignment="1" applyProtection="1">
      <alignment vertical="center" wrapText="1"/>
      <protection/>
    </xf>
    <xf numFmtId="3" fontId="4" fillId="35" borderId="10" xfId="42" applyNumberFormat="1" applyFont="1" applyFill="1" applyBorder="1" applyAlignment="1" applyProtection="1">
      <alignment vertical="center" wrapText="1"/>
      <protection/>
    </xf>
    <xf numFmtId="0" fontId="12" fillId="32" borderId="0" xfId="0" applyFont="1" applyFill="1" applyAlignment="1">
      <alignment vertical="center"/>
    </xf>
    <xf numFmtId="0" fontId="4" fillId="0" borderId="0" xfId="0" applyFont="1" applyBorder="1" applyAlignment="1">
      <alignment horizontal="center" vertical="center"/>
    </xf>
    <xf numFmtId="0" fontId="32" fillId="0" borderId="0" xfId="0" applyFont="1" applyFill="1" applyBorder="1" applyAlignment="1">
      <alignment horizontal="right" vertical="center"/>
    </xf>
    <xf numFmtId="0" fontId="3" fillId="0" borderId="14" xfId="0" applyFont="1" applyFill="1" applyBorder="1" applyAlignment="1">
      <alignment horizontal="center" vertical="center" wrapText="1"/>
    </xf>
    <xf numFmtId="0" fontId="5" fillId="0" borderId="10" xfId="0" applyFont="1" applyFill="1" applyBorder="1" applyAlignment="1">
      <alignment horizontal="left" vertical="center" wrapText="1"/>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right" vertical="center" wrapText="1"/>
    </xf>
    <xf numFmtId="182" fontId="3" fillId="0" borderId="10" xfId="0" applyNumberFormat="1" applyFont="1" applyFill="1" applyBorder="1" applyAlignment="1">
      <alignment horizontal="right" vertical="center" wrapText="1"/>
    </xf>
    <xf numFmtId="182" fontId="11" fillId="32" borderId="0" xfId="0" applyNumberFormat="1" applyFont="1" applyFill="1" applyAlignment="1">
      <alignment vertical="center" wrapText="1"/>
    </xf>
    <xf numFmtId="0" fontId="4" fillId="32" borderId="0" xfId="0" applyFont="1" applyFill="1" applyAlignment="1">
      <alignment vertical="center" wrapText="1"/>
    </xf>
    <xf numFmtId="0" fontId="4" fillId="0" borderId="0" xfId="0" applyFont="1" applyAlignment="1">
      <alignment vertical="center" wrapText="1"/>
    </xf>
    <xf numFmtId="182" fontId="4" fillId="32" borderId="0" xfId="0" applyNumberFormat="1" applyFont="1" applyFill="1" applyAlignment="1">
      <alignment vertical="center" wrapText="1"/>
    </xf>
    <xf numFmtId="182" fontId="5" fillId="32" borderId="10" xfId="0" applyNumberFormat="1" applyFont="1" applyFill="1" applyBorder="1" applyAlignment="1">
      <alignment horizontal="right" vertical="center" wrapText="1"/>
    </xf>
    <xf numFmtId="182" fontId="5" fillId="32" borderId="20" xfId="0" applyNumberFormat="1" applyFont="1" applyFill="1" applyBorder="1" applyAlignment="1">
      <alignment horizontal="right" vertical="center" wrapText="1"/>
    </xf>
    <xf numFmtId="182" fontId="25" fillId="0" borderId="10" xfId="42" applyNumberFormat="1" applyFont="1" applyFill="1" applyBorder="1" applyAlignment="1" applyProtection="1">
      <alignment vertical="center" wrapText="1"/>
      <protection/>
    </xf>
    <xf numFmtId="182" fontId="25" fillId="0" borderId="10" xfId="42" applyNumberFormat="1" applyFont="1" applyFill="1" applyBorder="1" applyAlignment="1" applyProtection="1">
      <alignment horizontal="right" vertical="center" wrapText="1"/>
      <protection/>
    </xf>
    <xf numFmtId="182" fontId="23" fillId="0" borderId="10" xfId="42" applyNumberFormat="1" applyFont="1" applyFill="1" applyBorder="1" applyAlignment="1" applyProtection="1">
      <alignment horizontal="right" vertical="center" wrapText="1"/>
      <protection/>
    </xf>
    <xf numFmtId="182" fontId="4" fillId="32" borderId="10" xfId="0" applyNumberFormat="1" applyFont="1" applyFill="1" applyBorder="1" applyAlignment="1">
      <alignment vertical="center" wrapText="1"/>
    </xf>
    <xf numFmtId="49" fontId="31" fillId="0" borderId="10" xfId="0" applyNumberFormat="1" applyFont="1" applyFill="1" applyBorder="1" applyAlignment="1" quotePrefix="1">
      <alignment vertical="center" wrapText="1"/>
    </xf>
    <xf numFmtId="9" fontId="31" fillId="0" borderId="10" xfId="42" applyNumberFormat="1" applyFont="1" applyFill="1" applyBorder="1" applyAlignment="1" applyProtection="1">
      <alignment vertical="center" wrapText="1"/>
      <protection/>
    </xf>
    <xf numFmtId="182" fontId="31" fillId="0" borderId="10" xfId="42" applyNumberFormat="1" applyFont="1" applyFill="1" applyBorder="1" applyAlignment="1" applyProtection="1">
      <alignment horizontal="right" vertical="center" wrapText="1"/>
      <protection/>
    </xf>
    <xf numFmtId="0" fontId="32" fillId="0" borderId="10" xfId="0" applyFont="1" applyFill="1" applyBorder="1" applyAlignment="1">
      <alignment vertical="center" wrapText="1"/>
    </xf>
    <xf numFmtId="0" fontId="32" fillId="32" borderId="0" xfId="0" applyFont="1" applyFill="1" applyAlignment="1">
      <alignment vertical="center" wrapText="1"/>
    </xf>
    <xf numFmtId="0" fontId="32" fillId="0" borderId="0" xfId="0" applyFont="1" applyAlignment="1">
      <alignment vertical="center" wrapText="1"/>
    </xf>
    <xf numFmtId="182" fontId="20" fillId="0" borderId="10" xfId="42" applyNumberFormat="1" applyFont="1" applyFill="1" applyBorder="1" applyAlignment="1" applyProtection="1">
      <alignment horizontal="right" vertical="center" wrapText="1"/>
      <protection/>
    </xf>
    <xf numFmtId="182" fontId="32" fillId="32" borderId="0" xfId="0" applyNumberFormat="1" applyFont="1" applyFill="1" applyAlignment="1">
      <alignment vertical="center" wrapText="1"/>
    </xf>
    <xf numFmtId="9" fontId="25" fillId="0" borderId="10" xfId="42" applyNumberFormat="1" applyFont="1" applyFill="1" applyBorder="1" applyAlignment="1" applyProtection="1">
      <alignment vertical="center" wrapText="1"/>
      <protection/>
    </xf>
    <xf numFmtId="182" fontId="11" fillId="32" borderId="10" xfId="0" applyNumberFormat="1" applyFont="1" applyFill="1" applyBorder="1" applyAlignment="1">
      <alignment vertical="center" wrapText="1"/>
    </xf>
    <xf numFmtId="182" fontId="17" fillId="0" borderId="10" xfId="42" applyNumberFormat="1" applyFont="1" applyFill="1" applyBorder="1" applyAlignment="1" applyProtection="1">
      <alignment horizontal="right" vertical="center" wrapText="1"/>
      <protection/>
    </xf>
    <xf numFmtId="0" fontId="25" fillId="0" borderId="14" xfId="0" applyFont="1" applyFill="1" applyBorder="1" applyAlignment="1">
      <alignment horizontal="center" vertical="center" wrapText="1"/>
    </xf>
    <xf numFmtId="0" fontId="25" fillId="0" borderId="14" xfId="0" applyFont="1" applyFill="1" applyBorder="1" applyAlignment="1">
      <alignment vertical="center" wrapText="1"/>
    </xf>
    <xf numFmtId="9" fontId="25" fillId="0" borderId="14" xfId="42" applyNumberFormat="1" applyFont="1" applyFill="1" applyBorder="1" applyAlignment="1" applyProtection="1">
      <alignment vertical="center" wrapText="1"/>
      <protection/>
    </xf>
    <xf numFmtId="182" fontId="25" fillId="0" borderId="14" xfId="42" applyNumberFormat="1" applyFont="1" applyFill="1" applyBorder="1" applyAlignment="1" applyProtection="1">
      <alignment horizontal="right" vertical="center" wrapText="1"/>
      <protection/>
    </xf>
    <xf numFmtId="0" fontId="31" fillId="0" borderId="14" xfId="0" applyFont="1" applyFill="1" applyBorder="1" applyAlignment="1">
      <alignment horizontal="center" vertical="center" wrapText="1"/>
    </xf>
    <xf numFmtId="0" fontId="31" fillId="0" borderId="14" xfId="0" applyFont="1" applyFill="1" applyBorder="1" applyAlignment="1">
      <alignment vertical="center" wrapText="1"/>
    </xf>
    <xf numFmtId="9" fontId="31" fillId="0" borderId="14" xfId="42" applyNumberFormat="1" applyFont="1" applyFill="1" applyBorder="1" applyAlignment="1" applyProtection="1">
      <alignment vertical="center" wrapText="1"/>
      <protection/>
    </xf>
    <xf numFmtId="182" fontId="31" fillId="0" borderId="14" xfId="42" applyNumberFormat="1" applyFont="1" applyFill="1" applyBorder="1" applyAlignment="1" applyProtection="1">
      <alignment horizontal="right" vertical="center" wrapText="1"/>
      <protection/>
    </xf>
    <xf numFmtId="9" fontId="5" fillId="0" borderId="10" xfId="42" applyNumberFormat="1" applyFont="1" applyFill="1" applyBorder="1" applyAlignment="1" applyProtection="1">
      <alignment vertical="center" wrapText="1"/>
      <protection/>
    </xf>
    <xf numFmtId="182" fontId="5" fillId="0" borderId="10" xfId="42" applyNumberFormat="1" applyFont="1" applyFill="1" applyBorder="1" applyAlignment="1" applyProtection="1">
      <alignment horizontal="right" vertical="center" wrapText="1"/>
      <protection/>
    </xf>
    <xf numFmtId="182" fontId="11" fillId="0" borderId="10" xfId="42" applyNumberFormat="1" applyFont="1" applyFill="1" applyBorder="1" applyAlignment="1" applyProtection="1">
      <alignment horizontal="right" vertical="center" wrapText="1"/>
      <protection/>
    </xf>
    <xf numFmtId="0" fontId="4" fillId="0" borderId="10" xfId="0" applyFont="1" applyFill="1" applyBorder="1" applyAlignment="1">
      <alignment vertical="center" wrapText="1"/>
    </xf>
    <xf numFmtId="182" fontId="5" fillId="32" borderId="10" xfId="42" applyNumberFormat="1" applyFont="1" applyFill="1" applyBorder="1" applyAlignment="1" applyProtection="1">
      <alignment horizontal="right" vertical="center" wrapText="1"/>
      <protection/>
    </xf>
    <xf numFmtId="49" fontId="5" fillId="0" borderId="10" xfId="71" applyNumberFormat="1" applyFont="1" applyFill="1" applyBorder="1" applyAlignment="1">
      <alignment horizontal="justify" vertical="center" wrapText="1"/>
      <protection/>
    </xf>
    <xf numFmtId="183" fontId="5" fillId="0" borderId="10" xfId="0" applyNumberFormat="1" applyFont="1" applyBorder="1" applyAlignment="1">
      <alignment vertical="center" wrapText="1"/>
    </xf>
    <xf numFmtId="183" fontId="5" fillId="0" borderId="10" xfId="0" applyNumberFormat="1" applyFont="1" applyFill="1" applyBorder="1" applyAlignment="1">
      <alignment vertical="center" wrapText="1"/>
    </xf>
    <xf numFmtId="182" fontId="23" fillId="0" borderId="14" xfId="42" applyNumberFormat="1" applyFont="1" applyFill="1" applyBorder="1" applyAlignment="1" applyProtection="1">
      <alignment horizontal="right" vertical="center" wrapText="1"/>
      <protection/>
    </xf>
    <xf numFmtId="0" fontId="4" fillId="32" borderId="10" xfId="0" applyFont="1" applyFill="1" applyBorder="1" applyAlignment="1">
      <alignment vertical="center" wrapText="1"/>
    </xf>
    <xf numFmtId="49" fontId="25" fillId="0" borderId="10" xfId="0" applyNumberFormat="1" applyFont="1" applyFill="1" applyBorder="1" applyAlignment="1" quotePrefix="1">
      <alignment horizontal="left" vertical="center" wrapText="1"/>
    </xf>
    <xf numFmtId="183" fontId="25" fillId="0" borderId="10" xfId="0" applyNumberFormat="1" applyFont="1" applyBorder="1" applyAlignment="1">
      <alignment vertical="center" wrapText="1"/>
    </xf>
    <xf numFmtId="183" fontId="25" fillId="0" borderId="10" xfId="0" applyNumberFormat="1" applyFont="1" applyBorder="1" applyAlignment="1">
      <alignment horizontal="right" vertical="center" wrapText="1"/>
    </xf>
    <xf numFmtId="183" fontId="5" fillId="0" borderId="10" xfId="42" applyNumberFormat="1" applyFont="1" applyFill="1" applyBorder="1" applyAlignment="1" applyProtection="1">
      <alignment horizontal="right" vertical="center" wrapText="1"/>
      <protection/>
    </xf>
    <xf numFmtId="49" fontId="25" fillId="0" borderId="10" xfId="0" applyNumberFormat="1" applyFont="1" applyFill="1" applyBorder="1" applyAlignment="1" quotePrefix="1">
      <alignment horizontal="justify" vertical="center" wrapText="1"/>
    </xf>
    <xf numFmtId="183" fontId="25" fillId="0" borderId="10" xfId="42" applyNumberFormat="1" applyFont="1" applyFill="1" applyBorder="1" applyAlignment="1" applyProtection="1">
      <alignment horizontal="right" vertical="center" wrapText="1"/>
      <protection/>
    </xf>
    <xf numFmtId="183" fontId="3" fillId="0" borderId="10" xfId="42" applyNumberFormat="1" applyFont="1" applyFill="1" applyBorder="1" applyAlignment="1" applyProtection="1">
      <alignment horizontal="right" vertical="center" wrapText="1"/>
      <protection/>
    </xf>
    <xf numFmtId="3" fontId="11" fillId="32" borderId="0" xfId="0" applyNumberFormat="1" applyFont="1" applyFill="1" applyAlignment="1">
      <alignment vertical="center" wrapText="1"/>
    </xf>
    <xf numFmtId="183" fontId="4" fillId="32" borderId="0" xfId="0" applyNumberFormat="1" applyFont="1" applyFill="1" applyAlignment="1">
      <alignment vertical="center" wrapText="1"/>
    </xf>
    <xf numFmtId="183" fontId="5" fillId="32" borderId="10" xfId="42" applyNumberFormat="1" applyFont="1" applyFill="1" applyBorder="1" applyAlignment="1" applyProtection="1">
      <alignment horizontal="right" vertical="center" wrapText="1"/>
      <protection/>
    </xf>
    <xf numFmtId="3" fontId="4" fillId="32" borderId="0" xfId="0" applyNumberFormat="1" applyFont="1" applyFill="1" applyAlignment="1">
      <alignment vertical="center" wrapText="1"/>
    </xf>
    <xf numFmtId="0" fontId="11" fillId="32" borderId="0" xfId="0" applyFont="1" applyFill="1" applyAlignment="1">
      <alignment vertical="center" wrapText="1"/>
    </xf>
    <xf numFmtId="0" fontId="11" fillId="32" borderId="10" xfId="0" applyFont="1" applyFill="1" applyBorder="1" applyAlignment="1">
      <alignment vertical="center" wrapText="1"/>
    </xf>
    <xf numFmtId="0" fontId="11" fillId="0" borderId="0" xfId="0" applyFont="1" applyAlignment="1">
      <alignment vertical="center" wrapText="1"/>
    </xf>
    <xf numFmtId="183" fontId="4" fillId="32" borderId="10" xfId="0" applyNumberFormat="1" applyFont="1" applyFill="1" applyBorder="1" applyAlignment="1">
      <alignment vertical="center" wrapText="1"/>
    </xf>
    <xf numFmtId="0" fontId="31" fillId="0" borderId="10" xfId="0" applyFont="1" applyFill="1" applyBorder="1" applyAlignment="1" quotePrefix="1">
      <alignment vertical="center" wrapText="1"/>
    </xf>
    <xf numFmtId="183" fontId="31" fillId="0" borderId="10" xfId="42" applyNumberFormat="1" applyFont="1" applyFill="1" applyBorder="1" applyAlignment="1" applyProtection="1">
      <alignment horizontal="right" vertical="center" wrapText="1"/>
      <protection/>
    </xf>
    <xf numFmtId="183" fontId="32" fillId="0" borderId="10" xfId="42" applyNumberFormat="1" applyFont="1" applyFill="1" applyBorder="1" applyAlignment="1">
      <alignment vertical="center" wrapText="1"/>
    </xf>
    <xf numFmtId="183" fontId="32" fillId="32" borderId="0" xfId="0" applyNumberFormat="1" applyFont="1" applyFill="1" applyAlignment="1">
      <alignment vertical="center" wrapText="1"/>
    </xf>
    <xf numFmtId="183" fontId="31" fillId="32" borderId="10" xfId="42" applyNumberFormat="1" applyFont="1" applyFill="1" applyBorder="1" applyAlignment="1" applyProtection="1">
      <alignment horizontal="right" vertical="center" wrapText="1"/>
      <protection/>
    </xf>
    <xf numFmtId="9" fontId="31" fillId="0" borderId="10" xfId="42" applyNumberFormat="1" applyFont="1" applyFill="1" applyBorder="1" applyAlignment="1" applyProtection="1">
      <alignment horizontal="right" vertical="center" wrapText="1"/>
      <protection/>
    </xf>
    <xf numFmtId="183" fontId="23" fillId="0" borderId="10" xfId="42" applyNumberFormat="1" applyFont="1" applyFill="1" applyBorder="1" applyAlignment="1" applyProtection="1">
      <alignment horizontal="right" vertical="center" wrapText="1"/>
      <protection/>
    </xf>
    <xf numFmtId="183" fontId="3" fillId="0" borderId="10" xfId="0" applyNumberFormat="1" applyFont="1" applyBorder="1" applyAlignment="1">
      <alignment vertical="center" wrapText="1"/>
    </xf>
    <xf numFmtId="183" fontId="3" fillId="0" borderId="10" xfId="0" applyNumberFormat="1" applyFont="1" applyFill="1" applyBorder="1" applyAlignment="1">
      <alignment vertical="center" wrapText="1"/>
    </xf>
    <xf numFmtId="0" fontId="5" fillId="35" borderId="10" xfId="0" applyFont="1" applyFill="1" applyBorder="1" applyAlignment="1">
      <alignment horizontal="center" vertical="center" wrapText="1"/>
    </xf>
    <xf numFmtId="49" fontId="25" fillId="35" borderId="10" xfId="0" applyNumberFormat="1" applyFont="1" applyFill="1" applyBorder="1" applyAlignment="1" quotePrefix="1">
      <alignment horizontal="left" vertical="center" wrapText="1"/>
    </xf>
    <xf numFmtId="9" fontId="25" fillId="35" borderId="10" xfId="42" applyNumberFormat="1" applyFont="1" applyFill="1" applyBorder="1" applyAlignment="1" applyProtection="1">
      <alignment vertical="center" wrapText="1"/>
      <protection/>
    </xf>
    <xf numFmtId="183" fontId="25" fillId="35" borderId="10" xfId="0" applyNumberFormat="1" applyFont="1" applyFill="1" applyBorder="1" applyAlignment="1">
      <alignment vertical="center" wrapText="1"/>
    </xf>
    <xf numFmtId="183" fontId="23" fillId="35" borderId="10" xfId="0" applyNumberFormat="1" applyFont="1" applyFill="1" applyBorder="1" applyAlignment="1">
      <alignment vertical="center" wrapText="1"/>
    </xf>
    <xf numFmtId="183" fontId="4" fillId="35" borderId="10" xfId="0" applyNumberFormat="1" applyFont="1" applyFill="1" applyBorder="1" applyAlignment="1">
      <alignment vertical="center" wrapText="1"/>
    </xf>
    <xf numFmtId="182" fontId="4" fillId="35" borderId="0" xfId="0" applyNumberFormat="1" applyFont="1" applyFill="1" applyAlignment="1">
      <alignment vertical="center" wrapText="1"/>
    </xf>
    <xf numFmtId="3" fontId="4" fillId="35" borderId="0" xfId="0" applyNumberFormat="1" applyFont="1" applyFill="1" applyAlignment="1">
      <alignment vertical="center" wrapText="1"/>
    </xf>
    <xf numFmtId="0" fontId="4" fillId="35" borderId="0" xfId="0" applyFont="1" applyFill="1" applyAlignment="1">
      <alignment vertical="center" wrapText="1"/>
    </xf>
    <xf numFmtId="0" fontId="4" fillId="35" borderId="10" xfId="0" applyFont="1" applyFill="1" applyBorder="1" applyAlignment="1">
      <alignment vertical="center" wrapText="1"/>
    </xf>
    <xf numFmtId="183" fontId="23" fillId="0" borderId="10" xfId="0" applyNumberFormat="1" applyFont="1" applyFill="1" applyBorder="1" applyAlignment="1">
      <alignment vertical="center" wrapText="1"/>
    </xf>
    <xf numFmtId="183" fontId="12" fillId="0" borderId="10" xfId="0" applyNumberFormat="1" applyFont="1" applyFill="1" applyBorder="1" applyAlignment="1">
      <alignment vertical="center"/>
    </xf>
    <xf numFmtId="183" fontId="12" fillId="32" borderId="0" xfId="0" applyNumberFormat="1" applyFont="1" applyFill="1" applyAlignment="1">
      <alignment vertical="center"/>
    </xf>
    <xf numFmtId="0" fontId="12" fillId="32" borderId="10" xfId="0" applyFont="1" applyFill="1" applyBorder="1" applyAlignment="1">
      <alignment vertical="center"/>
    </xf>
    <xf numFmtId="183" fontId="25" fillId="0" borderId="10" xfId="0" applyNumberFormat="1" applyFont="1" applyFill="1" applyBorder="1" applyAlignment="1">
      <alignment vertical="center" wrapText="1"/>
    </xf>
    <xf numFmtId="183" fontId="4" fillId="0" borderId="10" xfId="0" applyNumberFormat="1" applyFont="1" applyBorder="1" applyAlignment="1">
      <alignment vertical="center" wrapText="1"/>
    </xf>
    <xf numFmtId="0" fontId="23" fillId="0" borderId="10" xfId="0" applyFont="1" applyFill="1" applyBorder="1" applyAlignment="1">
      <alignment vertical="center"/>
    </xf>
    <xf numFmtId="0" fontId="25" fillId="0" borderId="10" xfId="0" applyFont="1" applyFill="1" applyBorder="1" applyAlignment="1">
      <alignment vertical="center"/>
    </xf>
    <xf numFmtId="3" fontId="5" fillId="0" borderId="10" xfId="42" applyNumberFormat="1" applyFont="1" applyFill="1" applyBorder="1" applyAlignment="1" applyProtection="1">
      <alignment vertical="center" wrapText="1"/>
      <protection/>
    </xf>
    <xf numFmtId="180" fontId="5" fillId="0" borderId="10" xfId="42" applyNumberFormat="1" applyFont="1" applyFill="1" applyBorder="1" applyAlignment="1">
      <alignment horizontal="right" vertical="center" wrapText="1"/>
    </xf>
    <xf numFmtId="180" fontId="25" fillId="0" borderId="10" xfId="42" applyNumberFormat="1" applyFont="1" applyFill="1" applyBorder="1" applyAlignment="1">
      <alignment horizontal="right" vertical="center" wrapText="1"/>
    </xf>
    <xf numFmtId="0" fontId="0" fillId="35" borderId="0" xfId="0" applyFont="1" applyFill="1" applyAlignment="1">
      <alignment vertical="center"/>
    </xf>
    <xf numFmtId="3" fontId="25" fillId="33" borderId="10" xfId="42" applyNumberFormat="1" applyFont="1" applyFill="1" applyBorder="1" applyAlignment="1" applyProtection="1">
      <alignment horizontal="right" vertical="center" wrapText="1"/>
      <protection/>
    </xf>
    <xf numFmtId="3" fontId="7" fillId="35" borderId="10" xfId="42" applyNumberFormat="1" applyFont="1" applyFill="1" applyBorder="1" applyAlignment="1">
      <alignment horizontal="right" vertical="center"/>
    </xf>
    <xf numFmtId="0" fontId="7" fillId="35" borderId="0" xfId="0" applyFont="1" applyFill="1" applyAlignment="1">
      <alignment vertical="center"/>
    </xf>
    <xf numFmtId="0" fontId="17" fillId="35" borderId="10" xfId="0" applyFont="1" applyFill="1" applyBorder="1" applyAlignment="1">
      <alignment vertical="center"/>
    </xf>
    <xf numFmtId="3" fontId="17" fillId="35" borderId="10" xfId="0" applyNumberFormat="1" applyFont="1" applyFill="1" applyBorder="1" applyAlignment="1">
      <alignment horizontal="right" vertical="center" wrapText="1"/>
    </xf>
    <xf numFmtId="0" fontId="32" fillId="0" borderId="0" xfId="0" applyFont="1" applyAlignment="1">
      <alignment horizontal="right" vertical="center"/>
    </xf>
    <xf numFmtId="0" fontId="32" fillId="35" borderId="10" xfId="0" applyFont="1" applyFill="1" applyBorder="1" applyAlignment="1">
      <alignment horizontal="center" vertical="center" wrapText="1"/>
    </xf>
    <xf numFmtId="0" fontId="32" fillId="35" borderId="10" xfId="0" applyFont="1" applyFill="1" applyBorder="1" applyAlignment="1" quotePrefix="1">
      <alignment horizontal="left" vertical="center" wrapText="1"/>
    </xf>
    <xf numFmtId="0" fontId="31" fillId="35" borderId="10" xfId="0" applyFont="1" applyFill="1" applyBorder="1" applyAlignment="1">
      <alignment horizontal="right" vertical="center" wrapText="1"/>
    </xf>
    <xf numFmtId="183" fontId="32" fillId="35" borderId="10" xfId="0" applyNumberFormat="1" applyFont="1" applyFill="1" applyBorder="1" applyAlignment="1">
      <alignment horizontal="right" vertical="center" wrapText="1"/>
    </xf>
    <xf numFmtId="0" fontId="42" fillId="35" borderId="10" xfId="0" applyFont="1" applyFill="1" applyBorder="1" applyAlignment="1">
      <alignment/>
    </xf>
    <xf numFmtId="0" fontId="7" fillId="35" borderId="10" xfId="0" applyFont="1" applyFill="1" applyBorder="1" applyAlignment="1">
      <alignment horizontal="center" vertical="center" wrapText="1"/>
    </xf>
    <xf numFmtId="3" fontId="7" fillId="35" borderId="10" xfId="0" applyNumberFormat="1" applyFont="1" applyFill="1" applyBorder="1" applyAlignment="1">
      <alignment horizontal="center" vertical="center" wrapText="1"/>
    </xf>
    <xf numFmtId="183" fontId="31" fillId="0" borderId="10" xfId="0" applyNumberFormat="1" applyFont="1" applyFill="1" applyBorder="1" applyAlignment="1">
      <alignment vertical="center" wrapText="1"/>
    </xf>
    <xf numFmtId="3" fontId="1" fillId="0" borderId="10" xfId="72" applyNumberFormat="1" applyFont="1" applyBorder="1" applyAlignment="1">
      <alignment horizontal="left" vertical="center" wrapText="1"/>
      <protection/>
    </xf>
    <xf numFmtId="3" fontId="50" fillId="0" borderId="10" xfId="44" applyNumberFormat="1" applyFont="1" applyFill="1" applyBorder="1" applyAlignment="1">
      <alignment horizontal="right" vertical="center"/>
    </xf>
    <xf numFmtId="3" fontId="31" fillId="0" borderId="10" xfId="72" applyNumberFormat="1" applyFont="1" applyFill="1" applyBorder="1" applyAlignment="1">
      <alignment horizontal="center" vertical="center" wrapText="1"/>
      <protection/>
    </xf>
    <xf numFmtId="49" fontId="31" fillId="0" borderId="10" xfId="0" applyNumberFormat="1" applyFont="1" applyFill="1" applyBorder="1" applyAlignment="1">
      <alignment horizontal="left" vertical="center" wrapText="1"/>
    </xf>
    <xf numFmtId="3" fontId="31" fillId="0" borderId="10" xfId="42" applyNumberFormat="1" applyFont="1" applyFill="1" applyBorder="1" applyAlignment="1">
      <alignment horizontal="right" vertical="center"/>
    </xf>
    <xf numFmtId="3" fontId="31" fillId="0" borderId="10" xfId="0" applyNumberFormat="1" applyFont="1" applyBorder="1" applyAlignment="1">
      <alignment horizontal="right" vertical="center"/>
    </xf>
    <xf numFmtId="0" fontId="31" fillId="0" borderId="10" xfId="0" applyFont="1" applyBorder="1" applyAlignment="1">
      <alignment vertical="center"/>
    </xf>
    <xf numFmtId="3" fontId="31" fillId="0" borderId="10" xfId="0" applyNumberFormat="1" applyFont="1" applyBorder="1" applyAlignment="1">
      <alignment vertical="center"/>
    </xf>
    <xf numFmtId="0" fontId="31" fillId="0" borderId="0" xfId="0" applyFont="1" applyAlignment="1">
      <alignment vertical="center"/>
    </xf>
    <xf numFmtId="0" fontId="31" fillId="0" borderId="10" xfId="0" applyFont="1" applyFill="1" applyBorder="1" applyAlignment="1" quotePrefix="1">
      <alignment horizontal="left" vertical="center"/>
    </xf>
    <xf numFmtId="0" fontId="93" fillId="0" borderId="0" xfId="0" applyFont="1" applyAlignment="1">
      <alignment/>
    </xf>
    <xf numFmtId="0" fontId="7" fillId="0" borderId="0" xfId="0" applyFont="1" applyAlignment="1" quotePrefix="1">
      <alignment wrapText="1"/>
    </xf>
    <xf numFmtId="0" fontId="5" fillId="35" borderId="10" xfId="65" applyFont="1" applyFill="1" applyBorder="1" applyAlignment="1">
      <alignment horizontal="center" vertical="center"/>
      <protection/>
    </xf>
    <xf numFmtId="0" fontId="5" fillId="35" borderId="10" xfId="65" applyFont="1" applyFill="1" applyBorder="1" applyAlignment="1">
      <alignment vertical="center"/>
      <protection/>
    </xf>
    <xf numFmtId="0" fontId="25" fillId="35" borderId="10" xfId="65" applyFont="1" applyFill="1" applyBorder="1" applyAlignment="1">
      <alignment vertical="center" wrapText="1"/>
      <protection/>
    </xf>
    <xf numFmtId="188" fontId="5" fillId="35" borderId="10" xfId="42" applyNumberFormat="1" applyFont="1" applyFill="1" applyBorder="1" applyAlignment="1">
      <alignment horizontal="right" vertical="center" wrapText="1"/>
    </xf>
    <xf numFmtId="3" fontId="25" fillId="35" borderId="10" xfId="45" applyNumberFormat="1" applyFont="1" applyFill="1" applyBorder="1" applyAlignment="1">
      <alignment vertical="center"/>
    </xf>
    <xf numFmtId="0" fontId="5" fillId="35" borderId="0" xfId="65" applyFont="1" applyFill="1" applyAlignment="1">
      <alignment vertical="center"/>
      <protection/>
    </xf>
    <xf numFmtId="0" fontId="25" fillId="35" borderId="10" xfId="65" applyFont="1" applyFill="1" applyBorder="1" applyAlignment="1">
      <alignment horizontal="center" vertical="center"/>
      <protection/>
    </xf>
    <xf numFmtId="0" fontId="25" fillId="35" borderId="10" xfId="65" applyFont="1" applyFill="1" applyBorder="1" applyAlignment="1">
      <alignment vertical="center"/>
      <protection/>
    </xf>
    <xf numFmtId="188" fontId="25" fillId="35" borderId="10" xfId="42" applyNumberFormat="1" applyFont="1" applyFill="1" applyBorder="1" applyAlignment="1">
      <alignment horizontal="right" vertical="center" wrapText="1"/>
    </xf>
    <xf numFmtId="0" fontId="25" fillId="35" borderId="0" xfId="65" applyFont="1" applyFill="1" applyAlignment="1">
      <alignment vertical="center"/>
      <protection/>
    </xf>
    <xf numFmtId="3" fontId="25" fillId="35" borderId="14" xfId="45" applyNumberFormat="1" applyFont="1" applyFill="1" applyBorder="1" applyAlignment="1">
      <alignment vertical="center"/>
    </xf>
    <xf numFmtId="0" fontId="5" fillId="35" borderId="10" xfId="65" applyFont="1" applyFill="1" applyBorder="1" applyAlignment="1">
      <alignment vertical="center" wrapText="1"/>
      <protection/>
    </xf>
    <xf numFmtId="0" fontId="4" fillId="0" borderId="10" xfId="0" applyFont="1" applyBorder="1" applyAlignment="1">
      <alignment vertical="center"/>
    </xf>
    <xf numFmtId="0" fontId="11" fillId="35" borderId="10" xfId="0" applyFont="1" applyFill="1" applyBorder="1" applyAlignment="1">
      <alignment horizontal="center" vertical="center"/>
    </xf>
    <xf numFmtId="3" fontId="11" fillId="35" borderId="10" xfId="0" applyNumberFormat="1" applyFont="1" applyFill="1" applyBorder="1" applyAlignment="1">
      <alignment horizontal="right" vertical="center"/>
    </xf>
    <xf numFmtId="3" fontId="11" fillId="35" borderId="10" xfId="0" applyNumberFormat="1" applyFont="1" applyFill="1" applyBorder="1" applyAlignment="1">
      <alignment vertical="center"/>
    </xf>
    <xf numFmtId="3" fontId="4" fillId="35" borderId="10" xfId="0" applyNumberFormat="1" applyFont="1" applyFill="1" applyBorder="1" applyAlignment="1">
      <alignment horizontal="right" vertical="center"/>
    </xf>
    <xf numFmtId="3" fontId="4" fillId="35" borderId="10" xfId="0" applyNumberFormat="1" applyFont="1" applyFill="1" applyBorder="1" applyAlignment="1">
      <alignment vertical="center"/>
    </xf>
    <xf numFmtId="3" fontId="44" fillId="0" borderId="10" xfId="42" applyNumberFormat="1" applyFont="1" applyFill="1" applyBorder="1" applyAlignment="1" applyProtection="1">
      <alignment vertical="center" wrapText="1"/>
      <protection/>
    </xf>
    <xf numFmtId="0" fontId="11" fillId="0" borderId="10" xfId="0" applyFont="1" applyFill="1" applyBorder="1" applyAlignment="1">
      <alignment vertical="center"/>
    </xf>
    <xf numFmtId="3" fontId="44" fillId="0" borderId="10" xfId="0" applyNumberFormat="1" applyFont="1" applyFill="1" applyBorder="1" applyAlignment="1">
      <alignment vertical="center"/>
    </xf>
    <xf numFmtId="3" fontId="4" fillId="0" borderId="10" xfId="0" applyNumberFormat="1" applyFont="1" applyFill="1" applyBorder="1" applyAlignment="1">
      <alignment vertical="center"/>
    </xf>
    <xf numFmtId="3" fontId="4" fillId="0" borderId="10" xfId="0" applyNumberFormat="1" applyFont="1" applyFill="1" applyBorder="1" applyAlignment="1">
      <alignment horizontal="right" vertical="center"/>
    </xf>
    <xf numFmtId="3" fontId="43" fillId="0" borderId="10" xfId="0" applyNumberFormat="1" applyFont="1" applyFill="1" applyBorder="1" applyAlignment="1">
      <alignment vertical="center"/>
    </xf>
    <xf numFmtId="0" fontId="25" fillId="35" borderId="0" xfId="0" applyFont="1" applyFill="1" applyAlignment="1">
      <alignment vertical="center"/>
    </xf>
    <xf numFmtId="3" fontId="12" fillId="35" borderId="0" xfId="0" applyNumberFormat="1" applyFont="1" applyFill="1" applyAlignment="1">
      <alignment vertical="center"/>
    </xf>
    <xf numFmtId="0" fontId="15" fillId="35" borderId="0" xfId="0" applyFont="1" applyFill="1" applyAlignment="1">
      <alignment vertical="center"/>
    </xf>
    <xf numFmtId="3" fontId="15" fillId="35" borderId="10" xfId="0" applyNumberFormat="1" applyFont="1" applyFill="1" applyBorder="1" applyAlignment="1">
      <alignment horizontal="left" vertical="center"/>
    </xf>
    <xf numFmtId="0" fontId="15" fillId="35" borderId="10" xfId="0" applyFont="1" applyFill="1" applyBorder="1" applyAlignment="1">
      <alignment vertical="center" wrapText="1"/>
    </xf>
    <xf numFmtId="3" fontId="15" fillId="0" borderId="10" xfId="72" applyNumberFormat="1" applyFont="1" applyBorder="1" applyAlignment="1">
      <alignment horizontal="left" vertical="center"/>
      <protection/>
    </xf>
    <xf numFmtId="3" fontId="15" fillId="35" borderId="10" xfId="72" applyNumberFormat="1" applyFont="1" applyFill="1" applyBorder="1" applyAlignment="1">
      <alignment horizontal="left" vertical="center"/>
      <protection/>
    </xf>
    <xf numFmtId="180" fontId="15" fillId="0" borderId="10" xfId="44" applyNumberFormat="1" applyFont="1" applyFill="1" applyBorder="1" applyAlignment="1">
      <alignment horizontal="right" vertical="center" wrapText="1"/>
    </xf>
    <xf numFmtId="180" fontId="15" fillId="0" borderId="10" xfId="44" applyNumberFormat="1" applyFont="1" applyFill="1" applyBorder="1" applyAlignment="1">
      <alignment horizontal="left" vertical="center" wrapText="1"/>
    </xf>
    <xf numFmtId="180" fontId="15" fillId="35" borderId="10" xfId="44" applyNumberFormat="1" applyFont="1" applyFill="1" applyBorder="1" applyAlignment="1">
      <alignment horizontal="right" vertical="center" wrapText="1"/>
    </xf>
    <xf numFmtId="0" fontId="25" fillId="0" borderId="10" xfId="0" applyFont="1" applyBorder="1" applyAlignment="1">
      <alignment vertical="center" wrapText="1"/>
    </xf>
    <xf numFmtId="1" fontId="25" fillId="0" borderId="10" xfId="0" applyNumberFormat="1" applyFont="1" applyBorder="1" applyAlignment="1">
      <alignment horizontal="right" vertical="center"/>
    </xf>
    <xf numFmtId="180" fontId="7" fillId="0" borderId="10" xfId="0" applyNumberFormat="1" applyFont="1" applyFill="1" applyBorder="1" applyAlignment="1">
      <alignment vertical="center"/>
    </xf>
    <xf numFmtId="0" fontId="3" fillId="35" borderId="0" xfId="0" applyFont="1" applyFill="1" applyAlignment="1">
      <alignment horizontal="center" vertical="center"/>
    </xf>
    <xf numFmtId="0" fontId="3" fillId="35" borderId="0" xfId="0" applyFont="1" applyFill="1" applyBorder="1" applyAlignment="1">
      <alignment horizontal="center" vertical="center"/>
    </xf>
    <xf numFmtId="0" fontId="4" fillId="35" borderId="0" xfId="0" applyFont="1" applyFill="1" applyAlignment="1">
      <alignment horizontal="center" vertical="center"/>
    </xf>
    <xf numFmtId="2" fontId="31" fillId="35" borderId="0" xfId="0" applyNumberFormat="1" applyFont="1" applyFill="1" applyBorder="1" applyAlignment="1">
      <alignment horizontal="center" vertical="center"/>
    </xf>
    <xf numFmtId="3" fontId="15" fillId="35" borderId="10" xfId="0" applyNumberFormat="1" applyFont="1" applyFill="1" applyBorder="1" applyAlignment="1">
      <alignment horizontal="center" vertical="center" wrapText="1"/>
    </xf>
    <xf numFmtId="0" fontId="24" fillId="35" borderId="0" xfId="0" applyFont="1" applyFill="1" applyAlignment="1">
      <alignment horizontal="center" vertical="center"/>
    </xf>
    <xf numFmtId="0" fontId="11" fillId="35" borderId="0" xfId="0" applyFont="1" applyFill="1" applyAlignment="1">
      <alignment vertical="center" wrapText="1"/>
    </xf>
    <xf numFmtId="3" fontId="7" fillId="35" borderId="10" xfId="0" applyNumberFormat="1" applyFont="1" applyFill="1" applyBorder="1" applyAlignment="1">
      <alignment horizontal="center" vertical="center"/>
    </xf>
    <xf numFmtId="3" fontId="7" fillId="35" borderId="10" xfId="0" applyNumberFormat="1" applyFont="1" applyFill="1" applyBorder="1" applyAlignment="1">
      <alignment vertical="center"/>
    </xf>
    <xf numFmtId="3" fontId="15" fillId="35" borderId="10" xfId="0" applyNumberFormat="1" applyFont="1" applyFill="1" applyBorder="1" applyAlignment="1">
      <alignment horizontal="center" vertical="center"/>
    </xf>
    <xf numFmtId="0" fontId="17" fillId="35" borderId="10" xfId="0" applyFont="1" applyFill="1" applyBorder="1" applyAlignment="1">
      <alignment horizontal="left" vertical="center"/>
    </xf>
    <xf numFmtId="3" fontId="17" fillId="35" borderId="10" xfId="42" applyNumberFormat="1" applyFont="1" applyFill="1" applyBorder="1" applyAlignment="1">
      <alignment horizontal="right" vertical="center"/>
    </xf>
    <xf numFmtId="213" fontId="12" fillId="35" borderId="10" xfId="0" applyNumberFormat="1" applyFont="1" applyFill="1" applyBorder="1" applyAlignment="1">
      <alignment horizontal="right" vertical="center"/>
    </xf>
    <xf numFmtId="4" fontId="12" fillId="35" borderId="10" xfId="0" applyNumberFormat="1" applyFont="1" applyFill="1" applyBorder="1" applyAlignment="1">
      <alignment horizontal="right" vertical="center"/>
    </xf>
    <xf numFmtId="4" fontId="18" fillId="35" borderId="10" xfId="0" applyNumberFormat="1" applyFont="1" applyFill="1" applyBorder="1" applyAlignment="1">
      <alignment horizontal="right" vertical="center"/>
    </xf>
    <xf numFmtId="0" fontId="12" fillId="35" borderId="0" xfId="0" applyFont="1" applyFill="1" applyAlignment="1">
      <alignment horizontal="center" vertical="center"/>
    </xf>
    <xf numFmtId="0" fontId="11" fillId="35" borderId="0" xfId="0" applyFont="1" applyFill="1" applyAlignment="1">
      <alignment horizontal="right" vertical="center"/>
    </xf>
    <xf numFmtId="3" fontId="11" fillId="35" borderId="0" xfId="0" applyNumberFormat="1" applyFont="1" applyFill="1" applyAlignment="1">
      <alignment vertical="center"/>
    </xf>
    <xf numFmtId="0" fontId="17" fillId="35" borderId="10" xfId="0" applyFont="1" applyFill="1" applyBorder="1" applyAlignment="1">
      <alignment horizontal="right" vertical="center"/>
    </xf>
    <xf numFmtId="3" fontId="17" fillId="35" borderId="10" xfId="0" applyNumberFormat="1" applyFont="1" applyFill="1" applyBorder="1" applyAlignment="1">
      <alignment vertical="center"/>
    </xf>
    <xf numFmtId="3" fontId="17" fillId="35" borderId="10" xfId="0" applyNumberFormat="1" applyFont="1" applyFill="1" applyBorder="1" applyAlignment="1">
      <alignment horizontal="right" vertical="center"/>
    </xf>
    <xf numFmtId="3" fontId="45" fillId="35" borderId="10" xfId="42" applyNumberFormat="1" applyFont="1" applyFill="1" applyBorder="1" applyAlignment="1">
      <alignment horizontal="right" vertical="center" wrapText="1"/>
    </xf>
    <xf numFmtId="3" fontId="46" fillId="35" borderId="10" xfId="42" applyNumberFormat="1" applyFont="1" applyFill="1" applyBorder="1" applyAlignment="1">
      <alignment horizontal="right" vertical="center" wrapText="1"/>
    </xf>
    <xf numFmtId="0" fontId="15" fillId="35" borderId="10" xfId="0" applyFont="1" applyFill="1" applyBorder="1" applyAlignment="1">
      <alignment horizontal="right" vertical="center"/>
    </xf>
    <xf numFmtId="3" fontId="15" fillId="35" borderId="10" xfId="0" applyNumberFormat="1" applyFont="1" applyFill="1" applyBorder="1" applyAlignment="1">
      <alignment vertical="center"/>
    </xf>
    <xf numFmtId="1" fontId="15" fillId="35" borderId="10" xfId="0" applyNumberFormat="1" applyFont="1" applyFill="1" applyBorder="1" applyAlignment="1">
      <alignment vertical="center"/>
    </xf>
    <xf numFmtId="0" fontId="15" fillId="35" borderId="10" xfId="0" applyFont="1" applyFill="1" applyBorder="1" applyAlignment="1">
      <alignment horizontal="right" vertical="center" wrapText="1"/>
    </xf>
    <xf numFmtId="0" fontId="15" fillId="35" borderId="0" xfId="0" applyFont="1" applyFill="1" applyAlignment="1">
      <alignment horizontal="center" vertical="center"/>
    </xf>
    <xf numFmtId="3" fontId="33" fillId="35" borderId="10" xfId="42" applyNumberFormat="1" applyFont="1" applyFill="1" applyBorder="1" applyAlignment="1">
      <alignment horizontal="right" vertical="center" wrapText="1"/>
    </xf>
    <xf numFmtId="0" fontId="15" fillId="35" borderId="10" xfId="0" applyFont="1" applyFill="1" applyBorder="1" applyAlignment="1">
      <alignment horizontal="center" vertical="center"/>
    </xf>
    <xf numFmtId="3" fontId="17" fillId="35" borderId="10" xfId="0" applyNumberFormat="1" applyFont="1" applyFill="1" applyBorder="1" applyAlignment="1">
      <alignment horizontal="left" vertical="center"/>
    </xf>
    <xf numFmtId="3" fontId="17" fillId="35" borderId="10" xfId="0" applyNumberFormat="1" applyFont="1" applyFill="1" applyBorder="1" applyAlignment="1" quotePrefix="1">
      <alignment horizontal="left" vertical="center"/>
    </xf>
    <xf numFmtId="1" fontId="17" fillId="35" borderId="10" xfId="0" applyNumberFormat="1" applyFont="1" applyFill="1" applyBorder="1" applyAlignment="1">
      <alignment vertical="center"/>
    </xf>
    <xf numFmtId="0" fontId="10" fillId="35" borderId="10" xfId="0" applyFont="1" applyFill="1" applyBorder="1" applyAlignment="1">
      <alignment vertical="center" wrapText="1"/>
    </xf>
    <xf numFmtId="3" fontId="7" fillId="0" borderId="10" xfId="72" applyNumberFormat="1" applyFont="1" applyFill="1" applyBorder="1" applyAlignment="1">
      <alignment horizontal="left" vertical="center" wrapText="1"/>
      <protection/>
    </xf>
    <xf numFmtId="0" fontId="5" fillId="35" borderId="0" xfId="0" applyFont="1" applyFill="1" applyBorder="1" applyAlignment="1">
      <alignment horizontal="center"/>
    </xf>
    <xf numFmtId="0" fontId="31" fillId="35" borderId="0" xfId="0" applyFont="1" applyFill="1" applyBorder="1" applyAlignment="1">
      <alignment horizontal="center"/>
    </xf>
    <xf numFmtId="0" fontId="11"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3" fontId="3" fillId="35" borderId="15" xfId="42" applyNumberFormat="1" applyFont="1" applyFill="1" applyBorder="1" applyAlignment="1" applyProtection="1">
      <alignment horizontal="right" vertical="center" wrapText="1"/>
      <protection/>
    </xf>
    <xf numFmtId="3" fontId="37" fillId="35" borderId="15" xfId="0" applyNumberFormat="1" applyFont="1" applyFill="1" applyBorder="1" applyAlignment="1">
      <alignment/>
    </xf>
    <xf numFmtId="3" fontId="36" fillId="35" borderId="0" xfId="0" applyNumberFormat="1" applyFont="1" applyFill="1" applyAlignment="1">
      <alignment/>
    </xf>
    <xf numFmtId="0" fontId="23" fillId="35" borderId="10" xfId="0" applyFont="1" applyFill="1" applyBorder="1" applyAlignment="1">
      <alignment horizontal="center" vertical="center" wrapText="1"/>
    </xf>
    <xf numFmtId="49" fontId="23" fillId="35" borderId="10" xfId="0" applyNumberFormat="1" applyFont="1" applyFill="1" applyBorder="1" applyAlignment="1">
      <alignment horizontal="left" vertical="center" wrapText="1"/>
    </xf>
    <xf numFmtId="3" fontId="23" fillId="35" borderId="10" xfId="0" applyNumberFormat="1" applyFont="1" applyFill="1" applyBorder="1" applyAlignment="1">
      <alignment horizontal="right" vertical="center" wrapText="1"/>
    </xf>
    <xf numFmtId="3" fontId="23" fillId="35" borderId="10" xfId="42" applyNumberFormat="1" applyFont="1" applyFill="1" applyBorder="1" applyAlignment="1" applyProtection="1">
      <alignment horizontal="right" vertical="center" wrapText="1"/>
      <protection/>
    </xf>
    <xf numFmtId="3" fontId="3" fillId="35" borderId="10" xfId="42" applyNumberFormat="1" applyFont="1" applyFill="1" applyBorder="1" applyAlignment="1" applyProtection="1">
      <alignment horizontal="right" vertical="center" wrapText="1"/>
      <protection/>
    </xf>
    <xf numFmtId="3" fontId="3" fillId="35" borderId="15" xfId="42" applyNumberFormat="1" applyFont="1" applyFill="1" applyBorder="1" applyAlignment="1" applyProtection="1">
      <alignment horizontal="right" vertical="center" wrapText="1"/>
      <protection/>
    </xf>
    <xf numFmtId="0" fontId="3" fillId="35" borderId="10" xfId="0" applyFont="1" applyFill="1" applyBorder="1" applyAlignment="1">
      <alignment horizontal="center" vertical="center" wrapText="1"/>
    </xf>
    <xf numFmtId="49" fontId="3" fillId="35" borderId="10" xfId="0" applyNumberFormat="1" applyFont="1" applyFill="1" applyBorder="1" applyAlignment="1">
      <alignment horizontal="left" vertical="center" wrapText="1"/>
    </xf>
    <xf numFmtId="3" fontId="3" fillId="35" borderId="10" xfId="0" applyNumberFormat="1" applyFont="1" applyFill="1" applyBorder="1" applyAlignment="1">
      <alignment horizontal="right" vertical="center" wrapText="1"/>
    </xf>
    <xf numFmtId="3" fontId="11" fillId="35" borderId="10" xfId="42" applyNumberFormat="1" applyFont="1" applyFill="1" applyBorder="1" applyAlignment="1" applyProtection="1">
      <alignment horizontal="right" vertical="center" wrapText="1"/>
      <protection/>
    </xf>
    <xf numFmtId="3" fontId="11" fillId="35" borderId="15" xfId="42" applyNumberFormat="1" applyFont="1" applyFill="1" applyBorder="1" applyAlignment="1" applyProtection="1">
      <alignment horizontal="right" vertical="center" wrapText="1"/>
      <protection/>
    </xf>
    <xf numFmtId="49" fontId="23" fillId="35" borderId="10" xfId="0" applyNumberFormat="1" applyFont="1" applyFill="1" applyBorder="1" applyAlignment="1" quotePrefix="1">
      <alignment horizontal="left" vertical="center" wrapText="1"/>
    </xf>
    <xf numFmtId="3" fontId="23" fillId="35" borderId="10" xfId="0" applyNumberFormat="1" applyFont="1" applyFill="1" applyBorder="1" applyAlignment="1" quotePrefix="1">
      <alignment horizontal="right" vertical="center" wrapText="1"/>
    </xf>
    <xf numFmtId="3" fontId="11" fillId="35" borderId="0" xfId="42" applyNumberFormat="1" applyFont="1" applyFill="1" applyBorder="1" applyAlignment="1" applyProtection="1">
      <alignment horizontal="right" vertical="center" wrapText="1"/>
      <protection/>
    </xf>
    <xf numFmtId="3" fontId="40" fillId="35" borderId="0" xfId="0" applyNumberFormat="1" applyFont="1" applyFill="1" applyBorder="1" applyAlignment="1">
      <alignment/>
    </xf>
    <xf numFmtId="188" fontId="39" fillId="35" borderId="0" xfId="42" applyNumberFormat="1" applyFont="1" applyFill="1" applyBorder="1" applyAlignment="1">
      <alignment/>
    </xf>
    <xf numFmtId="49" fontId="20" fillId="35" borderId="10" xfId="0" applyNumberFormat="1" applyFont="1" applyFill="1" applyBorder="1" applyAlignment="1">
      <alignment horizontal="right" vertical="center" wrapText="1"/>
    </xf>
    <xf numFmtId="49" fontId="20" fillId="35" borderId="10" xfId="0" applyNumberFormat="1" applyFont="1" applyFill="1" applyBorder="1" applyAlignment="1">
      <alignment horizontal="left" vertical="center" wrapText="1"/>
    </xf>
    <xf numFmtId="3" fontId="20" fillId="35" borderId="10" xfId="42" applyNumberFormat="1" applyFont="1" applyFill="1" applyBorder="1" applyAlignment="1" applyProtection="1">
      <alignment horizontal="right" vertical="center" wrapText="1"/>
      <protection/>
    </xf>
    <xf numFmtId="3" fontId="20" fillId="35" borderId="10" xfId="0" applyNumberFormat="1" applyFont="1" applyFill="1" applyBorder="1" applyAlignment="1">
      <alignment horizontal="right" vertical="center" wrapText="1"/>
    </xf>
    <xf numFmtId="3" fontId="38" fillId="35" borderId="10" xfId="0" applyNumberFormat="1" applyFont="1" applyFill="1" applyBorder="1" applyAlignment="1">
      <alignment horizontal="right" vertical="center" wrapText="1"/>
    </xf>
    <xf numFmtId="49" fontId="20" fillId="35" borderId="10" xfId="0" applyNumberFormat="1" applyFont="1" applyFill="1" applyBorder="1" applyAlignment="1" quotePrefix="1">
      <alignment horizontal="left" vertical="center" wrapText="1"/>
    </xf>
    <xf numFmtId="3" fontId="41" fillId="35" borderId="10" xfId="42" applyNumberFormat="1" applyFont="1" applyFill="1" applyBorder="1" applyAlignment="1" applyProtection="1">
      <alignment horizontal="right" vertical="center" wrapText="1"/>
      <protection/>
    </xf>
    <xf numFmtId="49" fontId="51" fillId="35" borderId="10" xfId="0" applyNumberFormat="1" applyFont="1" applyFill="1" applyBorder="1" applyAlignment="1">
      <alignment horizontal="right" vertical="center" wrapText="1"/>
    </xf>
    <xf numFmtId="0" fontId="12" fillId="35" borderId="10" xfId="0" applyFont="1" applyFill="1" applyBorder="1" applyAlignment="1">
      <alignment horizontal="center" vertical="center" wrapText="1"/>
    </xf>
    <xf numFmtId="0" fontId="52" fillId="35" borderId="0" xfId="0" applyFont="1" applyFill="1" applyBorder="1" applyAlignment="1">
      <alignment/>
    </xf>
    <xf numFmtId="0" fontId="52" fillId="35" borderId="0" xfId="0" applyFont="1" applyFill="1" applyAlignment="1">
      <alignment/>
    </xf>
    <xf numFmtId="49" fontId="3" fillId="35" borderId="10" xfId="0" applyNumberFormat="1" applyFont="1" applyFill="1" applyBorder="1" applyAlignment="1" quotePrefix="1">
      <alignment horizontal="left" vertical="center" wrapText="1"/>
    </xf>
    <xf numFmtId="49" fontId="3" fillId="35" borderId="10" xfId="0" applyNumberFormat="1" applyFont="1" applyFill="1" applyBorder="1" applyAlignment="1">
      <alignment horizontal="right" vertical="center" wrapText="1"/>
    </xf>
    <xf numFmtId="0" fontId="23" fillId="35" borderId="20" xfId="0" applyFont="1" applyFill="1" applyBorder="1" applyAlignment="1">
      <alignment horizontal="left" vertical="center" wrapText="1"/>
    </xf>
    <xf numFmtId="3" fontId="4" fillId="35" borderId="10" xfId="42" applyNumberFormat="1" applyFont="1" applyFill="1" applyBorder="1" applyAlignment="1" applyProtection="1">
      <alignment horizontal="right" vertical="center" wrapText="1"/>
      <protection/>
    </xf>
    <xf numFmtId="3" fontId="4" fillId="35" borderId="0" xfId="42" applyNumberFormat="1" applyFont="1" applyFill="1" applyBorder="1" applyAlignment="1" applyProtection="1">
      <alignment horizontal="right" vertical="center" wrapText="1"/>
      <protection/>
    </xf>
    <xf numFmtId="0" fontId="3" fillId="33" borderId="10" xfId="0" applyFont="1" applyFill="1" applyBorder="1" applyAlignment="1">
      <alignment horizontal="left" vertical="center" wrapText="1"/>
    </xf>
    <xf numFmtId="0" fontId="17" fillId="35" borderId="10" xfId="0" applyFont="1" applyFill="1" applyBorder="1" applyAlignment="1" quotePrefix="1">
      <alignment horizontal="left" vertical="center" wrapText="1"/>
    </xf>
    <xf numFmtId="0" fontId="23" fillId="0" borderId="10" xfId="0" applyFont="1" applyFill="1" applyBorder="1" applyAlignment="1">
      <alignment vertical="center" wrapText="1"/>
    </xf>
    <xf numFmtId="179" fontId="23" fillId="35" borderId="10" xfId="42" applyFont="1" applyFill="1" applyBorder="1" applyAlignment="1" applyProtection="1">
      <alignment horizontal="right" vertical="center" wrapText="1"/>
      <protection/>
    </xf>
    <xf numFmtId="0" fontId="23" fillId="0" borderId="10" xfId="0" applyFont="1" applyFill="1" applyBorder="1" applyAlignment="1" quotePrefix="1">
      <alignment vertical="center" wrapText="1"/>
    </xf>
    <xf numFmtId="0" fontId="4" fillId="0" borderId="10" xfId="0" applyFont="1" applyFill="1" applyBorder="1" applyAlignment="1">
      <alignment vertical="center" wrapText="1"/>
    </xf>
    <xf numFmtId="0" fontId="37" fillId="35" borderId="0" xfId="0" applyFont="1" applyFill="1" applyAlignment="1">
      <alignment/>
    </xf>
    <xf numFmtId="49" fontId="23" fillId="35" borderId="10" xfId="0" applyNumberFormat="1" applyFont="1" applyFill="1" applyBorder="1" applyAlignment="1">
      <alignment horizontal="right" vertical="center" wrapText="1"/>
    </xf>
    <xf numFmtId="0" fontId="23" fillId="33" borderId="10" xfId="0" applyFont="1" applyFill="1" applyBorder="1" applyAlignment="1">
      <alignment horizontal="left" vertical="center" wrapText="1"/>
    </xf>
    <xf numFmtId="3" fontId="3" fillId="35" borderId="10" xfId="0" applyNumberFormat="1" applyFont="1" applyFill="1" applyBorder="1" applyAlignment="1" quotePrefix="1">
      <alignment horizontal="right" vertical="center" wrapText="1"/>
    </xf>
    <xf numFmtId="49" fontId="15" fillId="35" borderId="10" xfId="0" applyNumberFormat="1" applyFont="1" applyFill="1" applyBorder="1" applyAlignment="1" quotePrefix="1">
      <alignment horizontal="left" vertical="center" wrapText="1"/>
    </xf>
    <xf numFmtId="0" fontId="32" fillId="35" borderId="10" xfId="65" applyFont="1" applyFill="1" applyBorder="1" applyAlignment="1">
      <alignment horizontal="left" vertical="center" wrapText="1"/>
      <protection/>
    </xf>
    <xf numFmtId="0" fontId="20" fillId="35" borderId="10" xfId="65" applyFont="1" applyFill="1" applyBorder="1" applyAlignment="1">
      <alignment horizontal="right" vertical="center" wrapText="1"/>
      <protection/>
    </xf>
    <xf numFmtId="0" fontId="32" fillId="35" borderId="14" xfId="65" applyFont="1" applyFill="1" applyBorder="1" applyAlignment="1">
      <alignment horizontal="left" vertical="center" wrapText="1"/>
      <protection/>
    </xf>
    <xf numFmtId="0" fontId="20" fillId="35" borderId="14" xfId="65" applyFont="1" applyFill="1" applyBorder="1" applyAlignment="1">
      <alignment horizontal="right"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180" fontId="5" fillId="0" borderId="10" xfId="42" applyNumberFormat="1" applyFont="1" applyFill="1" applyBorder="1" applyAlignment="1">
      <alignment horizontal="right" vertical="center" wrapText="1"/>
    </xf>
    <xf numFmtId="180" fontId="5" fillId="33" borderId="10" xfId="42" applyNumberFormat="1" applyFont="1" applyFill="1" applyBorder="1" applyAlignment="1">
      <alignment horizontal="right" vertical="center" wrapText="1"/>
    </xf>
    <xf numFmtId="180" fontId="11" fillId="0" borderId="10" xfId="42" applyNumberFormat="1" applyFont="1" applyFill="1" applyBorder="1" applyAlignment="1">
      <alignment horizontal="right" vertical="center" wrapText="1"/>
    </xf>
    <xf numFmtId="0" fontId="0" fillId="0" borderId="0" xfId="0" applyFont="1" applyFill="1" applyAlignment="1">
      <alignment vertical="center"/>
    </xf>
    <xf numFmtId="0" fontId="25" fillId="0" borderId="10" xfId="0" applyFont="1" applyFill="1" applyBorder="1" applyAlignment="1">
      <alignment horizontal="center" vertical="center" wrapText="1"/>
    </xf>
    <xf numFmtId="0" fontId="25" fillId="0" borderId="10" xfId="0" applyFont="1" applyFill="1" applyBorder="1" applyAlignment="1">
      <alignment vertical="center" wrapText="1"/>
    </xf>
    <xf numFmtId="180" fontId="25" fillId="0" borderId="10" xfId="42" applyNumberFormat="1" applyFont="1" applyFill="1" applyBorder="1" applyAlignment="1" applyProtection="1">
      <alignment horizontal="right" vertical="center" wrapText="1"/>
      <protection/>
    </xf>
    <xf numFmtId="3" fontId="25" fillId="33" borderId="10" xfId="42" applyNumberFormat="1" applyFont="1" applyFill="1" applyBorder="1" applyAlignment="1" applyProtection="1">
      <alignment vertical="center" wrapText="1"/>
      <protection/>
    </xf>
    <xf numFmtId="3" fontId="4" fillId="0" borderId="10" xfId="42" applyNumberFormat="1" applyFont="1" applyFill="1" applyBorder="1" applyAlignment="1" applyProtection="1">
      <alignment vertical="center" wrapText="1"/>
      <protection/>
    </xf>
    <xf numFmtId="0" fontId="31" fillId="0" borderId="10" xfId="0" applyFont="1" applyFill="1" applyBorder="1" applyAlignment="1">
      <alignment vertical="center" wrapText="1"/>
    </xf>
    <xf numFmtId="180" fontId="5" fillId="0" borderId="10" xfId="42" applyNumberFormat="1" applyFont="1" applyFill="1" applyBorder="1" applyAlignment="1" applyProtection="1">
      <alignment horizontal="right" vertical="center" wrapText="1"/>
      <protection/>
    </xf>
    <xf numFmtId="180" fontId="31" fillId="33" borderId="10" xfId="42" applyNumberFormat="1" applyFont="1" applyFill="1" applyBorder="1" applyAlignment="1" applyProtection="1">
      <alignment horizontal="right" vertical="center" wrapText="1"/>
      <protection/>
    </xf>
    <xf numFmtId="180" fontId="32" fillId="0" borderId="10" xfId="42" applyNumberFormat="1" applyFont="1" applyFill="1" applyBorder="1" applyAlignment="1" applyProtection="1">
      <alignment horizontal="right" vertical="center" wrapText="1"/>
      <protection/>
    </xf>
    <xf numFmtId="180" fontId="11" fillId="0" borderId="10" xfId="42" applyNumberFormat="1" applyFont="1" applyFill="1" applyBorder="1" applyAlignment="1" applyProtection="1">
      <alignment horizontal="right" vertical="center" wrapText="1"/>
      <protection/>
    </xf>
    <xf numFmtId="180" fontId="25" fillId="33" borderId="10" xfId="42" applyNumberFormat="1" applyFont="1" applyFill="1" applyBorder="1" applyAlignment="1" applyProtection="1">
      <alignment horizontal="right" vertical="center" wrapText="1"/>
      <protection/>
    </xf>
    <xf numFmtId="180" fontId="4" fillId="0" borderId="10" xfId="42" applyNumberFormat="1" applyFont="1" applyFill="1" applyBorder="1" applyAlignment="1" applyProtection="1">
      <alignment horizontal="right" vertical="center" wrapText="1"/>
      <protection/>
    </xf>
    <xf numFmtId="0" fontId="53" fillId="0" borderId="0" xfId="0" applyFont="1" applyFill="1" applyAlignment="1">
      <alignment vertical="center"/>
    </xf>
    <xf numFmtId="0" fontId="5" fillId="0" borderId="10" xfId="0" applyFont="1" applyFill="1" applyBorder="1" applyAlignment="1">
      <alignment horizontal="left" vertical="center" wrapText="1"/>
    </xf>
    <xf numFmtId="0" fontId="54" fillId="0" borderId="0" xfId="0" applyFont="1" applyFill="1" applyAlignment="1">
      <alignment vertical="center"/>
    </xf>
    <xf numFmtId="0" fontId="5" fillId="0" borderId="10" xfId="0" applyFont="1" applyFill="1" applyBorder="1" applyAlignment="1">
      <alignment horizontal="justify" vertical="center" wrapText="1"/>
    </xf>
    <xf numFmtId="3" fontId="11" fillId="0" borderId="10" xfId="42" applyNumberFormat="1" applyFont="1" applyFill="1" applyBorder="1" applyAlignment="1" applyProtection="1">
      <alignment vertical="center" wrapText="1"/>
      <protection/>
    </xf>
    <xf numFmtId="0" fontId="31" fillId="0" borderId="10" xfId="0" applyFont="1" applyFill="1" applyBorder="1" applyAlignment="1">
      <alignment horizontal="justify" vertical="center" wrapText="1"/>
    </xf>
    <xf numFmtId="49" fontId="5" fillId="0" borderId="10" xfId="0" applyNumberFormat="1" applyFont="1" applyFill="1" applyBorder="1" applyAlignment="1">
      <alignment horizontal="justify" vertical="center" wrapText="1"/>
    </xf>
    <xf numFmtId="49" fontId="5" fillId="0" borderId="10" xfId="0" applyNumberFormat="1" applyFont="1" applyFill="1" applyBorder="1" applyAlignment="1">
      <alignment horizontal="left" vertical="center" wrapText="1"/>
    </xf>
    <xf numFmtId="0" fontId="25" fillId="0" borderId="10" xfId="0" applyFont="1" applyFill="1" applyBorder="1" applyAlignment="1">
      <alignment vertical="center"/>
    </xf>
    <xf numFmtId="183" fontId="5" fillId="33" borderId="10" xfId="42" applyNumberFormat="1" applyFont="1" applyFill="1" applyBorder="1" applyAlignment="1" applyProtection="1">
      <alignment horizontal="right" vertical="center" wrapText="1"/>
      <protection/>
    </xf>
    <xf numFmtId="183" fontId="11" fillId="0" borderId="10" xfId="42"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49" fontId="25" fillId="0" borderId="10" xfId="0" applyNumberFormat="1" applyFont="1" applyFill="1" applyBorder="1" applyAlignment="1" quotePrefix="1">
      <alignment horizontal="justify" vertical="center" wrapText="1"/>
    </xf>
    <xf numFmtId="183" fontId="25" fillId="33" borderId="10" xfId="42" applyNumberFormat="1" applyFont="1" applyFill="1" applyBorder="1" applyAlignment="1" applyProtection="1">
      <alignment horizontal="right" vertical="center" wrapText="1"/>
      <protection/>
    </xf>
    <xf numFmtId="3" fontId="4" fillId="0" borderId="10" xfId="42" applyNumberFormat="1" applyFont="1" applyFill="1" applyBorder="1" applyAlignment="1" applyProtection="1">
      <alignment horizontal="right" vertical="center" wrapText="1"/>
      <protection/>
    </xf>
    <xf numFmtId="0" fontId="11" fillId="0" borderId="10" xfId="0" applyFont="1" applyFill="1" applyBorder="1" applyAlignment="1">
      <alignment horizontal="left" vertical="center" wrapText="1"/>
    </xf>
    <xf numFmtId="0" fontId="25" fillId="0" borderId="10" xfId="0" applyFont="1" applyBorder="1" applyAlignment="1">
      <alignment horizontal="center" vertical="center"/>
    </xf>
    <xf numFmtId="0" fontId="25" fillId="0" borderId="10" xfId="0" applyFont="1" applyFill="1" applyBorder="1" applyAlignment="1">
      <alignment horizontal="left" vertical="center" wrapText="1"/>
    </xf>
    <xf numFmtId="183" fontId="25" fillId="35" borderId="10" xfId="0" applyNumberFormat="1" applyFont="1" applyFill="1" applyBorder="1" applyAlignment="1">
      <alignment vertical="center" wrapText="1"/>
    </xf>
    <xf numFmtId="183" fontId="4" fillId="0" borderId="10" xfId="0" applyNumberFormat="1" applyFont="1" applyFill="1" applyBorder="1" applyAlignment="1">
      <alignment vertical="center" wrapText="1"/>
    </xf>
    <xf numFmtId="183" fontId="55" fillId="33" borderId="10" xfId="0" applyNumberFormat="1" applyFont="1" applyFill="1" applyBorder="1" applyAlignment="1">
      <alignment vertical="center" wrapText="1"/>
    </xf>
    <xf numFmtId="183" fontId="29" fillId="0" borderId="10" xfId="0" applyNumberFormat="1" applyFont="1" applyFill="1" applyBorder="1" applyAlignment="1">
      <alignment vertical="center" wrapText="1"/>
    </xf>
    <xf numFmtId="0" fontId="25" fillId="0" borderId="10" xfId="0" applyFont="1" applyBorder="1" applyAlignment="1">
      <alignment vertical="center"/>
    </xf>
    <xf numFmtId="0" fontId="31" fillId="0" borderId="10" xfId="0" applyFont="1" applyFill="1" applyBorder="1" applyAlignment="1" quotePrefix="1">
      <alignment vertical="center" wrapText="1"/>
    </xf>
    <xf numFmtId="183" fontId="31" fillId="33" borderId="10" xfId="0" applyNumberFormat="1" applyFont="1" applyFill="1" applyBorder="1" applyAlignment="1">
      <alignment vertical="center" wrapText="1"/>
    </xf>
    <xf numFmtId="0" fontId="3" fillId="35" borderId="0" xfId="0" applyFont="1" applyFill="1" applyAlignment="1">
      <alignment vertical="center"/>
    </xf>
    <xf numFmtId="0" fontId="18" fillId="35" borderId="13" xfId="0" applyFont="1" applyFill="1" applyBorder="1" applyAlignment="1">
      <alignment horizontal="center" vertical="center"/>
    </xf>
    <xf numFmtId="0" fontId="33" fillId="35" borderId="21" xfId="0" applyFont="1" applyFill="1" applyBorder="1" applyAlignment="1">
      <alignment horizontal="center" vertical="center" wrapText="1"/>
    </xf>
    <xf numFmtId="0" fontId="33" fillId="35" borderId="15" xfId="0" applyFont="1" applyFill="1" applyBorder="1" applyAlignment="1">
      <alignment horizontal="center" vertical="center" wrapText="1"/>
    </xf>
    <xf numFmtId="0" fontId="7" fillId="35" borderId="10" xfId="0" applyFont="1" applyFill="1" applyBorder="1" applyAlignment="1">
      <alignment horizontal="center" vertical="center"/>
    </xf>
    <xf numFmtId="49" fontId="7" fillId="35" borderId="10" xfId="0" applyNumberFormat="1" applyFont="1" applyFill="1" applyBorder="1" applyAlignment="1">
      <alignment vertical="center" wrapText="1"/>
    </xf>
    <xf numFmtId="185" fontId="7" fillId="35" borderId="10" xfId="42" applyNumberFormat="1" applyFont="1" applyFill="1" applyBorder="1" applyAlignment="1">
      <alignment horizontal="right" vertical="center" wrapText="1"/>
    </xf>
    <xf numFmtId="0" fontId="34" fillId="35" borderId="0" xfId="0" applyFont="1" applyFill="1" applyAlignment="1">
      <alignment vertical="center"/>
    </xf>
    <xf numFmtId="0" fontId="17" fillId="35" borderId="10" xfId="0" applyFont="1" applyFill="1" applyBorder="1" applyAlignment="1">
      <alignment horizontal="center" vertical="center" wrapText="1"/>
    </xf>
    <xf numFmtId="0" fontId="17" fillId="35" borderId="10" xfId="0" applyFont="1" applyFill="1" applyBorder="1" applyAlignment="1">
      <alignment horizontal="left" vertical="center" wrapText="1"/>
    </xf>
    <xf numFmtId="0" fontId="18" fillId="35" borderId="0" xfId="0" applyFont="1" applyFill="1" applyAlignment="1">
      <alignment vertical="center"/>
    </xf>
    <xf numFmtId="185" fontId="15" fillId="35" borderId="10" xfId="42" applyNumberFormat="1" applyFont="1" applyFill="1" applyBorder="1" applyAlignment="1">
      <alignment horizontal="right" vertical="center" wrapText="1"/>
    </xf>
    <xf numFmtId="0" fontId="15" fillId="35" borderId="10" xfId="0" applyFont="1" applyFill="1" applyBorder="1" applyAlignment="1" quotePrefix="1">
      <alignment vertical="center" wrapText="1"/>
    </xf>
    <xf numFmtId="3" fontId="15" fillId="35" borderId="10" xfId="42" applyNumberFormat="1" applyFont="1" applyFill="1" applyBorder="1" applyAlignment="1" applyProtection="1">
      <alignment horizontal="right" vertical="center" wrapText="1"/>
      <protection/>
    </xf>
    <xf numFmtId="0" fontId="15" fillId="35" borderId="10" xfId="0" applyFont="1" applyFill="1" applyBorder="1" applyAlignment="1" quotePrefix="1">
      <alignment horizontal="left" vertical="center" wrapText="1"/>
    </xf>
    <xf numFmtId="188" fontId="12" fillId="35" borderId="0" xfId="42" applyNumberFormat="1" applyFont="1" applyFill="1" applyAlignment="1">
      <alignment vertical="center"/>
    </xf>
    <xf numFmtId="0" fontId="20" fillId="0" borderId="0" xfId="0" applyFont="1" applyBorder="1" applyAlignment="1">
      <alignment vertical="center"/>
    </xf>
    <xf numFmtId="0" fontId="3" fillId="35" borderId="0" xfId="0" applyFont="1" applyFill="1" applyBorder="1" applyAlignment="1">
      <alignment vertical="center"/>
    </xf>
    <xf numFmtId="0" fontId="11" fillId="0" borderId="10" xfId="0" applyFont="1" applyFill="1" applyBorder="1" applyAlignment="1">
      <alignment horizontal="center" vertical="center"/>
    </xf>
    <xf numFmtId="0" fontId="20" fillId="0" borderId="0" xfId="0" applyFont="1" applyBorder="1" applyAlignment="1">
      <alignment horizontal="center" vertical="center"/>
    </xf>
    <xf numFmtId="0" fontId="5" fillId="0" borderId="0" xfId="0" applyFont="1" applyAlignment="1">
      <alignment horizontal="center" vertical="center"/>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0" xfId="0" applyFont="1" applyBorder="1" applyAlignment="1">
      <alignment horizontal="center" vertical="center"/>
    </xf>
    <xf numFmtId="3" fontId="32" fillId="0" borderId="13" xfId="42" applyNumberFormat="1" applyFont="1" applyFill="1" applyBorder="1" applyAlignment="1" applyProtection="1">
      <alignment horizontal="right" vertical="center"/>
      <protection/>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5" fillId="35" borderId="0" xfId="0" applyFont="1" applyFill="1" applyBorder="1" applyAlignment="1">
      <alignment horizontal="center"/>
    </xf>
    <xf numFmtId="0" fontId="31" fillId="35" borderId="0" xfId="0" applyFont="1" applyFill="1" applyBorder="1" applyAlignment="1">
      <alignment horizontal="center"/>
    </xf>
    <xf numFmtId="0" fontId="32" fillId="35" borderId="13" xfId="0" applyFont="1" applyFill="1" applyBorder="1" applyAlignment="1">
      <alignment horizontal="right"/>
    </xf>
    <xf numFmtId="3" fontId="11" fillId="35" borderId="10" xfId="0" applyNumberFormat="1"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20" fillId="35" borderId="13" xfId="0" applyFont="1" applyFill="1" applyBorder="1" applyAlignment="1">
      <alignment horizontal="right" vertical="center"/>
    </xf>
    <xf numFmtId="3" fontId="15" fillId="35" borderId="14" xfId="0" applyNumberFormat="1" applyFont="1" applyFill="1" applyBorder="1" applyAlignment="1">
      <alignment horizontal="center" vertical="center" wrapText="1"/>
    </xf>
    <xf numFmtId="3" fontId="15" fillId="35" borderId="12" xfId="0" applyNumberFormat="1"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0" xfId="72" applyFont="1" applyFill="1" applyBorder="1" applyAlignment="1">
      <alignment horizontal="center" vertical="center" wrapText="1"/>
      <protection/>
    </xf>
    <xf numFmtId="0" fontId="11" fillId="35" borderId="20" xfId="0" applyFont="1" applyFill="1" applyBorder="1" applyAlignment="1">
      <alignment horizontal="center" vertical="center" wrapText="1"/>
    </xf>
    <xf numFmtId="0" fontId="11" fillId="35" borderId="21" xfId="0" applyFont="1" applyFill="1" applyBorder="1" applyAlignment="1">
      <alignment horizontal="center" vertical="center" wrapText="1"/>
    </xf>
    <xf numFmtId="0" fontId="11" fillId="35" borderId="15"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31" fillId="35" borderId="0" xfId="0" applyFont="1" applyFill="1" applyBorder="1" applyAlignment="1">
      <alignment horizontal="center" vertical="center"/>
    </xf>
    <xf numFmtId="0" fontId="11" fillId="35" borderId="0" xfId="0" applyFont="1" applyFill="1" applyAlignment="1">
      <alignment horizontal="center" vertical="center"/>
    </xf>
    <xf numFmtId="0" fontId="5" fillId="35" borderId="0" xfId="0" applyFont="1" applyFill="1" applyBorder="1" applyAlignment="1">
      <alignment horizontal="center" vertical="center"/>
    </xf>
    <xf numFmtId="0" fontId="7" fillId="35" borderId="14"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14" xfId="72" applyFont="1" applyFill="1" applyBorder="1" applyAlignment="1">
      <alignment horizontal="center" vertical="center" wrapText="1"/>
      <protection/>
    </xf>
    <xf numFmtId="0" fontId="7" fillId="35" borderId="26" xfId="72" applyFont="1" applyFill="1" applyBorder="1" applyAlignment="1">
      <alignment horizontal="center" vertical="center" wrapText="1"/>
      <protection/>
    </xf>
    <xf numFmtId="0" fontId="7" fillId="35" borderId="12" xfId="72" applyFont="1" applyFill="1" applyBorder="1" applyAlignment="1">
      <alignment horizontal="center" vertical="center" wrapText="1"/>
      <protection/>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5" fillId="35" borderId="0" xfId="0" applyFont="1" applyFill="1" applyAlignment="1">
      <alignment horizontal="center" vertical="center"/>
    </xf>
    <xf numFmtId="0" fontId="7" fillId="35" borderId="10" xfId="0" applyFont="1" applyFill="1" applyBorder="1" applyAlignment="1">
      <alignment horizontal="center" vertical="center"/>
    </xf>
    <xf numFmtId="3" fontId="7" fillId="35" borderId="10" xfId="0" applyNumberFormat="1" applyFont="1" applyFill="1" applyBorder="1" applyAlignment="1">
      <alignment horizontal="center" vertical="center" wrapText="1"/>
    </xf>
    <xf numFmtId="3" fontId="7" fillId="35" borderId="14" xfId="0" applyNumberFormat="1" applyFont="1" applyFill="1" applyBorder="1" applyAlignment="1">
      <alignment horizontal="center" vertical="center" wrapText="1"/>
    </xf>
    <xf numFmtId="3" fontId="7" fillId="35" borderId="26" xfId="0" applyNumberFormat="1" applyFont="1" applyFill="1" applyBorder="1" applyAlignment="1">
      <alignment horizontal="center" vertical="center" wrapText="1"/>
    </xf>
    <xf numFmtId="3" fontId="7" fillId="35" borderId="12" xfId="0" applyNumberFormat="1" applyFont="1" applyFill="1" applyBorder="1" applyAlignment="1">
      <alignment horizontal="center" vertical="center" wrapText="1"/>
    </xf>
    <xf numFmtId="0" fontId="31" fillId="35" borderId="0" xfId="0" applyFont="1" applyFill="1" applyAlignment="1">
      <alignment horizontal="center" vertical="center"/>
    </xf>
    <xf numFmtId="0" fontId="32" fillId="35" borderId="13" xfId="0" applyFont="1" applyFill="1" applyBorder="1" applyAlignment="1">
      <alignment horizontal="right" vertical="center"/>
    </xf>
    <xf numFmtId="0" fontId="33" fillId="35" borderId="21" xfId="0" applyFont="1" applyFill="1" applyBorder="1" applyAlignment="1">
      <alignment horizontal="center" vertical="center" wrapText="1"/>
    </xf>
    <xf numFmtId="0" fontId="33" fillId="35" borderId="15" xfId="0" applyFont="1" applyFill="1" applyBorder="1" applyAlignment="1">
      <alignment horizontal="center" vertical="center" wrapText="1"/>
    </xf>
    <xf numFmtId="0" fontId="7" fillId="0" borderId="14" xfId="72" applyFont="1" applyFill="1" applyBorder="1" applyAlignment="1">
      <alignment horizontal="center" vertical="center" wrapText="1"/>
      <protection/>
    </xf>
    <xf numFmtId="0" fontId="7" fillId="0" borderId="26" xfId="72" applyFont="1" applyFill="1" applyBorder="1" applyAlignment="1">
      <alignment horizontal="center" vertical="center" wrapText="1"/>
      <protection/>
    </xf>
    <xf numFmtId="0" fontId="7" fillId="0" borderId="12" xfId="72" applyFont="1" applyFill="1" applyBorder="1" applyAlignment="1">
      <alignment horizontal="center" vertical="center" wrapText="1"/>
      <protection/>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72" applyFont="1" applyFill="1" applyAlignment="1">
      <alignment horizontal="center" vertical="center"/>
      <protection/>
    </xf>
    <xf numFmtId="0" fontId="31" fillId="0" borderId="0" xfId="72" applyFont="1" applyFill="1" applyAlignment="1">
      <alignment horizontal="center" vertical="center"/>
      <protection/>
    </xf>
    <xf numFmtId="0" fontId="7" fillId="0" borderId="10" xfId="72" applyFont="1" applyFill="1" applyBorder="1" applyAlignment="1">
      <alignment horizontal="center" vertical="center" wrapText="1"/>
      <protection/>
    </xf>
    <xf numFmtId="0" fontId="7" fillId="32" borderId="14" xfId="72" applyFont="1" applyFill="1" applyBorder="1" applyAlignment="1">
      <alignment horizontal="center" vertical="center" wrapText="1"/>
      <protection/>
    </xf>
    <xf numFmtId="0" fontId="7" fillId="32" borderId="26" xfId="72" applyFont="1" applyFill="1" applyBorder="1" applyAlignment="1">
      <alignment horizontal="center" vertical="center" wrapText="1"/>
      <protection/>
    </xf>
    <xf numFmtId="0" fontId="7" fillId="32" borderId="12" xfId="72" applyFont="1" applyFill="1" applyBorder="1" applyAlignment="1">
      <alignment horizontal="center" vertical="center" wrapText="1"/>
      <protection/>
    </xf>
    <xf numFmtId="0" fontId="32" fillId="0" borderId="13" xfId="0" applyFont="1" applyFill="1" applyBorder="1" applyAlignment="1">
      <alignment horizontal="right" vertical="center"/>
    </xf>
    <xf numFmtId="179" fontId="7" fillId="0" borderId="10" xfId="42" applyFont="1" applyFill="1" applyBorder="1" applyAlignment="1">
      <alignment horizontal="center" vertical="center" wrapText="1"/>
    </xf>
    <xf numFmtId="0" fontId="5" fillId="0" borderId="0" xfId="66" applyFont="1" applyFill="1" applyAlignment="1">
      <alignment horizontal="center"/>
      <protection/>
    </xf>
    <xf numFmtId="188" fontId="11" fillId="0" borderId="10" xfId="47" applyNumberFormat="1" applyFont="1" applyFill="1" applyBorder="1" applyAlignment="1">
      <alignment horizontal="center" vertical="center" wrapText="1"/>
    </xf>
    <xf numFmtId="0" fontId="32" fillId="0" borderId="13" xfId="66" applyFont="1" applyFill="1" applyBorder="1" applyAlignment="1">
      <alignment horizontal="center"/>
      <protection/>
    </xf>
    <xf numFmtId="0" fontId="31" fillId="0" borderId="0" xfId="66" applyFont="1" applyFill="1" applyAlignment="1">
      <alignment horizontal="center"/>
      <protection/>
    </xf>
    <xf numFmtId="0" fontId="4" fillId="0" borderId="14" xfId="66" applyFont="1" applyFill="1" applyBorder="1" applyAlignment="1">
      <alignment horizontal="center" vertical="center" wrapText="1"/>
      <protection/>
    </xf>
    <xf numFmtId="0" fontId="4" fillId="0" borderId="12" xfId="66" applyFont="1" applyFill="1" applyBorder="1" applyAlignment="1">
      <alignment horizontal="center" vertical="center" wrapText="1"/>
      <protection/>
    </xf>
    <xf numFmtId="0" fontId="4" fillId="0" borderId="20" xfId="66" applyFont="1" applyFill="1" applyBorder="1" applyAlignment="1">
      <alignment horizontal="center" vertical="center" wrapText="1"/>
      <protection/>
    </xf>
    <xf numFmtId="0" fontId="4" fillId="0" borderId="21" xfId="66" applyFont="1" applyFill="1" applyBorder="1" applyAlignment="1">
      <alignment horizontal="center" vertical="center" wrapText="1"/>
      <protection/>
    </xf>
    <xf numFmtId="0" fontId="4" fillId="0" borderId="15" xfId="66" applyFont="1" applyFill="1" applyBorder="1" applyAlignment="1">
      <alignment horizontal="center" vertical="center" wrapText="1"/>
      <protection/>
    </xf>
    <xf numFmtId="188" fontId="4" fillId="0" borderId="20" xfId="47" applyNumberFormat="1" applyFont="1" applyFill="1" applyBorder="1" applyAlignment="1">
      <alignment horizontal="center" vertical="center" wrapText="1"/>
    </xf>
    <xf numFmtId="188" fontId="4" fillId="0" borderId="21" xfId="47" applyNumberFormat="1" applyFont="1" applyFill="1" applyBorder="1" applyAlignment="1">
      <alignment horizontal="center" vertical="center" wrapText="1"/>
    </xf>
    <xf numFmtId="188" fontId="4" fillId="0" borderId="15" xfId="47" applyNumberFormat="1" applyFont="1" applyFill="1" applyBorder="1" applyAlignment="1">
      <alignment horizontal="center" vertical="center" wrapText="1"/>
    </xf>
    <xf numFmtId="190" fontId="17" fillId="33" borderId="13" xfId="49" applyNumberFormat="1" applyFont="1" applyFill="1" applyBorder="1" applyAlignment="1">
      <alignment horizontal="right" vertical="center"/>
    </xf>
    <xf numFmtId="0" fontId="11" fillId="33" borderId="0" xfId="70" applyFont="1" applyFill="1" applyAlignment="1">
      <alignment horizontal="center" vertical="center"/>
      <protection/>
    </xf>
    <xf numFmtId="0" fontId="3" fillId="33" borderId="0" xfId="70" applyFont="1" applyFill="1" applyAlignment="1">
      <alignment horizontal="center" vertical="center"/>
      <protection/>
    </xf>
    <xf numFmtId="0" fontId="5" fillId="33" borderId="0" xfId="70" applyFont="1" applyFill="1" applyAlignment="1">
      <alignment horizontal="center" vertical="center"/>
      <protection/>
    </xf>
    <xf numFmtId="3" fontId="31" fillId="33" borderId="0" xfId="67" applyNumberFormat="1" applyFont="1" applyFill="1" applyAlignment="1">
      <alignment horizontal="center" vertical="center"/>
      <protection/>
    </xf>
    <xf numFmtId="0" fontId="47" fillId="33" borderId="10" xfId="70" applyFont="1" applyFill="1" applyBorder="1" applyAlignment="1">
      <alignment horizontal="center" vertical="center" wrapText="1"/>
      <protection/>
    </xf>
    <xf numFmtId="0" fontId="9" fillId="33" borderId="10" xfId="70" applyFont="1" applyFill="1" applyBorder="1" applyAlignment="1">
      <alignment horizontal="center" vertical="center" wrapText="1"/>
      <protection/>
    </xf>
    <xf numFmtId="0" fontId="3" fillId="0" borderId="0" xfId="67" applyFont="1" applyFill="1" applyAlignment="1">
      <alignment horizontal="center"/>
      <protection/>
    </xf>
    <xf numFmtId="3" fontId="11" fillId="0" borderId="0" xfId="67" applyNumberFormat="1" applyFont="1" applyFill="1" applyAlignment="1">
      <alignment horizontal="center"/>
      <protection/>
    </xf>
    <xf numFmtId="0" fontId="11" fillId="0" borderId="0" xfId="67" applyFont="1" applyFill="1" applyAlignment="1">
      <alignment horizontal="center"/>
      <protection/>
    </xf>
    <xf numFmtId="3" fontId="5" fillId="0" borderId="0" xfId="67" applyNumberFormat="1" applyFont="1" applyFill="1" applyAlignment="1">
      <alignment horizontal="center"/>
      <protection/>
    </xf>
    <xf numFmtId="3" fontId="8" fillId="0" borderId="10" xfId="74" applyNumberFormat="1" applyFont="1" applyFill="1" applyBorder="1" applyAlignment="1">
      <alignment horizontal="center" vertical="center" wrapText="1"/>
      <protection/>
    </xf>
    <xf numFmtId="3" fontId="31" fillId="33" borderId="0" xfId="67" applyNumberFormat="1" applyFont="1" applyFill="1" applyAlignment="1">
      <alignment horizontal="center"/>
      <protection/>
    </xf>
    <xf numFmtId="3" fontId="7" fillId="0" borderId="14" xfId="74" applyNumberFormat="1" applyFont="1" applyFill="1" applyBorder="1" applyAlignment="1">
      <alignment horizontal="center" vertical="center" wrapText="1"/>
      <protection/>
    </xf>
    <xf numFmtId="3" fontId="7" fillId="0" borderId="12" xfId="74" applyNumberFormat="1" applyFont="1" applyFill="1" applyBorder="1" applyAlignment="1">
      <alignment horizontal="center" vertical="center" wrapText="1"/>
      <protection/>
    </xf>
    <xf numFmtId="3" fontId="7" fillId="0" borderId="10" xfId="74" applyNumberFormat="1" applyFont="1" applyFill="1" applyBorder="1" applyAlignment="1">
      <alignment horizontal="center" vertical="center" wrapText="1"/>
      <protection/>
    </xf>
    <xf numFmtId="3" fontId="9" fillId="0" borderId="10" xfId="74" applyNumberFormat="1" applyFont="1" applyFill="1" applyBorder="1" applyAlignment="1">
      <alignment horizontal="center" vertical="center" wrapText="1"/>
      <protection/>
    </xf>
    <xf numFmtId="180" fontId="8" fillId="0" borderId="10" xfId="42" applyNumberFormat="1" applyFont="1" applyFill="1" applyBorder="1" applyAlignment="1">
      <alignment horizontal="center" vertical="center" wrapText="1"/>
    </xf>
    <xf numFmtId="3" fontId="32" fillId="0" borderId="13" xfId="67" applyNumberFormat="1" applyFont="1" applyFill="1" applyBorder="1" applyAlignment="1">
      <alignment horizontal="right"/>
      <protection/>
    </xf>
    <xf numFmtId="3" fontId="32" fillId="0" borderId="13" xfId="67" applyNumberFormat="1" applyFont="1" applyFill="1" applyBorder="1" applyAlignment="1">
      <alignment horizontal="center"/>
      <protection/>
    </xf>
    <xf numFmtId="0" fontId="31" fillId="0" borderId="0" xfId="70" applyFont="1" applyAlignment="1">
      <alignment horizontal="center"/>
      <protection/>
    </xf>
    <xf numFmtId="0" fontId="11" fillId="0" borderId="26"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NumberFormat="1" applyFont="1" applyBorder="1" applyAlignment="1">
      <alignment horizontal="center" vertical="center" wrapText="1"/>
    </xf>
    <xf numFmtId="0" fontId="11" fillId="0" borderId="20"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3" fillId="0" borderId="0" xfId="70" applyFont="1" applyAlignment="1">
      <alignment horizontal="center"/>
      <protection/>
    </xf>
    <xf numFmtId="0" fontId="25" fillId="0" borderId="13" xfId="0" applyFont="1" applyBorder="1" applyAlignment="1">
      <alignment horizontal="center"/>
    </xf>
    <xf numFmtId="0" fontId="11" fillId="0" borderId="20" xfId="0" applyNumberFormat="1" applyFont="1" applyBorder="1" applyAlignment="1">
      <alignment horizontal="center" vertical="center"/>
    </xf>
    <xf numFmtId="0" fontId="11" fillId="0" borderId="21"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0" xfId="0" applyNumberFormat="1" applyFont="1" applyFill="1" applyBorder="1" applyAlignment="1">
      <alignment horizontal="center" vertical="center" wrapText="1"/>
    </xf>
    <xf numFmtId="0" fontId="5" fillId="0" borderId="0" xfId="0" applyFont="1" applyAlignment="1">
      <alignment horizontal="center"/>
    </xf>
    <xf numFmtId="0" fontId="48" fillId="0" borderId="26" xfId="0" applyFont="1" applyBorder="1" applyAlignment="1">
      <alignment horizontal="center" vertical="center" wrapText="1"/>
    </xf>
    <xf numFmtId="0" fontId="48" fillId="0" borderId="12" xfId="0" applyFont="1" applyBorder="1" applyAlignment="1">
      <alignment horizontal="center" vertical="center" wrapText="1"/>
    </xf>
    <xf numFmtId="0" fontId="11" fillId="0" borderId="20" xfId="0" applyFont="1" applyBorder="1" applyAlignment="1">
      <alignment horizontal="center"/>
    </xf>
    <xf numFmtId="0" fontId="11" fillId="0" borderId="15" xfId="0" applyFont="1" applyBorder="1" applyAlignment="1">
      <alignment horizontal="center"/>
    </xf>
    <xf numFmtId="0" fontId="11" fillId="0" borderId="27" xfId="0" applyNumberFormat="1" applyFont="1" applyBorder="1" applyAlignment="1">
      <alignment horizontal="center" vertical="center" wrapText="1"/>
    </xf>
    <xf numFmtId="0" fontId="11" fillId="0" borderId="31" xfId="0" applyNumberFormat="1" applyFont="1" applyBorder="1" applyAlignment="1">
      <alignment horizontal="center" vertical="center" wrapText="1"/>
    </xf>
    <xf numFmtId="0" fontId="11" fillId="0" borderId="28"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13" xfId="0" applyNumberFormat="1" applyFont="1" applyBorder="1" applyAlignment="1">
      <alignment horizontal="center" vertical="center" wrapText="1"/>
    </xf>
    <xf numFmtId="0" fontId="11" fillId="0" borderId="30" xfId="0" applyNumberFormat="1" applyFont="1" applyBorder="1" applyAlignment="1">
      <alignment horizontal="center" vertical="center" wrapText="1"/>
    </xf>
    <xf numFmtId="0" fontId="11" fillId="0" borderId="32" xfId="0" applyNumberFormat="1" applyFont="1" applyBorder="1" applyAlignment="1">
      <alignment horizontal="center" vertical="center" wrapText="1"/>
    </xf>
    <xf numFmtId="0" fontId="11" fillId="0" borderId="21" xfId="0" applyNumberFormat="1" applyFont="1" applyBorder="1" applyAlignment="1">
      <alignment horizontal="center"/>
    </xf>
    <xf numFmtId="0" fontId="11" fillId="0" borderId="15" xfId="0" applyNumberFormat="1" applyFont="1" applyBorder="1" applyAlignment="1">
      <alignment horizontal="center"/>
    </xf>
    <xf numFmtId="3" fontId="11" fillId="0" borderId="10" xfId="42" applyNumberFormat="1"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26"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31" fillId="0" borderId="0" xfId="65" applyFont="1" applyFill="1" applyBorder="1" applyAlignment="1">
      <alignment horizontal="center" vertical="center"/>
      <protection/>
    </xf>
    <xf numFmtId="0" fontId="5" fillId="0" borderId="0" xfId="65" applyFont="1" applyAlignment="1">
      <alignment horizontal="center" vertical="center"/>
      <protection/>
    </xf>
    <xf numFmtId="0" fontId="25" fillId="0" borderId="0" xfId="65" applyFont="1" applyAlignment="1">
      <alignment horizontal="center" vertical="center"/>
      <protection/>
    </xf>
    <xf numFmtId="0" fontId="4" fillId="0" borderId="20" xfId="0" applyFont="1" applyBorder="1" applyAlignment="1">
      <alignment horizontal="left" vertical="center" wrapText="1"/>
    </xf>
    <xf numFmtId="0" fontId="4" fillId="0" borderId="15" xfId="0" applyFont="1" applyBorder="1" applyAlignment="1">
      <alignment horizontal="left" vertical="center" wrapText="1"/>
    </xf>
    <xf numFmtId="0" fontId="4" fillId="0" borderId="2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20" xfId="0" applyFont="1" applyBorder="1" applyAlignment="1">
      <alignment horizontal="left" vertical="center" wrapText="1"/>
    </xf>
    <xf numFmtId="0" fontId="11" fillId="0" borderId="15" xfId="0" applyFont="1" applyBorder="1" applyAlignment="1">
      <alignment horizontal="left" vertical="center" wrapText="1"/>
    </xf>
    <xf numFmtId="0" fontId="11" fillId="0" borderId="20" xfId="0" applyFont="1" applyBorder="1" applyAlignment="1">
      <alignment horizontal="left" vertical="center"/>
    </xf>
    <xf numFmtId="0" fontId="11" fillId="0" borderId="15" xfId="0" applyFont="1" applyBorder="1" applyAlignment="1">
      <alignment horizontal="left" vertical="center"/>
    </xf>
    <xf numFmtId="0" fontId="11" fillId="35" borderId="20" xfId="0" applyFont="1" applyFill="1" applyBorder="1" applyAlignment="1">
      <alignment horizontal="left" vertical="center" wrapText="1"/>
    </xf>
    <xf numFmtId="0" fontId="11" fillId="35" borderId="15" xfId="0" applyFont="1" applyFill="1" applyBorder="1" applyAlignment="1">
      <alignment horizontal="left" vertical="center" wrapText="1"/>
    </xf>
    <xf numFmtId="0" fontId="32" fillId="0" borderId="13" xfId="0" applyFont="1" applyBorder="1" applyAlignment="1">
      <alignment horizontal="center" vertical="center"/>
    </xf>
    <xf numFmtId="0" fontId="4" fillId="0" borderId="10" xfId="0" applyFont="1" applyBorder="1" applyAlignment="1">
      <alignment horizontal="left" vertical="center" wrapText="1"/>
    </xf>
    <xf numFmtId="0" fontId="4" fillId="35" borderId="20" xfId="0" applyFont="1" applyFill="1" applyBorder="1" applyAlignment="1">
      <alignment horizontal="left" vertical="center" wrapText="1"/>
    </xf>
    <xf numFmtId="0" fontId="4" fillId="35" borderId="15" xfId="0" applyFont="1" applyFill="1" applyBorder="1" applyAlignment="1">
      <alignment horizontal="left" vertical="center" wrapText="1"/>
    </xf>
    <xf numFmtId="0" fontId="11" fillId="0" borderId="0" xfId="0" applyFont="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5" xfId="0" applyFont="1" applyBorder="1" applyAlignment="1">
      <alignment horizontal="center" vertical="center"/>
    </xf>
    <xf numFmtId="0" fontId="32" fillId="0" borderId="0" xfId="0" applyFont="1" applyAlignment="1">
      <alignment horizontal="center" vertical="center"/>
    </xf>
    <xf numFmtId="0" fontId="20" fillId="0" borderId="0" xfId="0" applyFont="1" applyAlignment="1">
      <alignment horizontal="center" vertical="center" wrapText="1"/>
    </xf>
    <xf numFmtId="180" fontId="11" fillId="0" borderId="20" xfId="42" applyNumberFormat="1" applyFont="1" applyBorder="1" applyAlignment="1">
      <alignment horizontal="center" vertical="center"/>
    </xf>
    <xf numFmtId="180" fontId="11" fillId="0" borderId="15" xfId="42" applyNumberFormat="1" applyFont="1" applyBorder="1" applyAlignment="1">
      <alignment horizontal="center" vertical="center"/>
    </xf>
    <xf numFmtId="0" fontId="25" fillId="0" borderId="10" xfId="72" applyFont="1" applyFill="1" applyBorder="1" applyAlignment="1">
      <alignment horizontal="center" vertical="center" wrapText="1"/>
      <protection/>
    </xf>
    <xf numFmtId="0" fontId="5" fillId="0" borderId="10" xfId="72" applyFont="1" applyFill="1" applyBorder="1" applyAlignment="1">
      <alignment horizontal="center" vertical="center" wrapText="1"/>
      <protection/>
    </xf>
    <xf numFmtId="3" fontId="5" fillId="0" borderId="10" xfId="0" applyNumberFormat="1" applyFont="1" applyFill="1" applyBorder="1" applyAlignment="1">
      <alignment horizontal="center" vertical="center" wrapText="1"/>
    </xf>
    <xf numFmtId="180" fontId="17" fillId="0" borderId="13" xfId="42" applyNumberFormat="1" applyFont="1" applyBorder="1" applyAlignment="1">
      <alignment horizontal="right" vertical="center"/>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Alignment="1">
      <alignment horizontal="center" vertical="center" wrapText="1"/>
    </xf>
    <xf numFmtId="0" fontId="5" fillId="0" borderId="20" xfId="72" applyFont="1" applyFill="1" applyBorder="1" applyAlignment="1">
      <alignment horizontal="center" vertical="center" wrapText="1"/>
      <protection/>
    </xf>
    <xf numFmtId="0" fontId="5" fillId="0" borderId="15" xfId="72" applyFont="1" applyFill="1" applyBorder="1" applyAlignment="1">
      <alignment horizontal="center" vertical="center" wrapText="1"/>
      <protection/>
    </xf>
    <xf numFmtId="0" fontId="5" fillId="0" borderId="14" xfId="72" applyFont="1" applyFill="1" applyBorder="1" applyAlignment="1">
      <alignment horizontal="center" vertical="center" wrapText="1"/>
      <protection/>
    </xf>
    <xf numFmtId="0" fontId="5" fillId="0" borderId="12" xfId="72" applyFont="1" applyFill="1" applyBorder="1" applyAlignment="1">
      <alignment horizontal="center" vertical="center" wrapText="1"/>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3" xfId="46"/>
    <cellStyle name="Comma_chi tiet mot so chi tieu trong DT 2015" xfId="47"/>
    <cellStyle name="Comma_Du thao Du toan chi 2015" xfId="48"/>
    <cellStyle name="Comma_DU TOAN THU 2017 (20 11 2016)"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13" xfId="63"/>
    <cellStyle name="Normal 16" xfId="64"/>
    <cellStyle name="Normal 3_biểu PHUONG ÁN GIAO DỰ TOÁN 2017 (30 11 2016)" xfId="65"/>
    <cellStyle name="Normal_chi tiet mot so chi tieu trong DT 2015" xfId="66"/>
    <cellStyle name="Normal_Du thao Du toan chi 2015" xfId="67"/>
    <cellStyle name="Normal_DU TOAN  2011" xfId="68"/>
    <cellStyle name="Normal_Du Toan Dang bo cac Khoi 2016" xfId="69"/>
    <cellStyle name="Normal_DU TOAN THU 2017 (20 11 2016)" xfId="70"/>
    <cellStyle name="Normal_DU TOAN THU 2017 (5)" xfId="71"/>
    <cellStyle name="Normal_PHAN BO DU TOAN THU CHI SU NGHIEP NAM 2015 PTC (2)" xfId="72"/>
    <cellStyle name="Normal_Sheet1" xfId="73"/>
    <cellStyle name="Normal_Tien do Thu" xfId="74"/>
    <cellStyle name="Normal_tỉnh giao 2011" xfId="75"/>
    <cellStyle name="Note" xfId="76"/>
    <cellStyle name="Output" xfId="77"/>
    <cellStyle name="Percent"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xdr:row>
      <xdr:rowOff>28575</xdr:rowOff>
    </xdr:from>
    <xdr:to>
      <xdr:col>1</xdr:col>
      <xdr:colOff>1257300</xdr:colOff>
      <xdr:row>2</xdr:row>
      <xdr:rowOff>28575</xdr:rowOff>
    </xdr:to>
    <xdr:sp>
      <xdr:nvSpPr>
        <xdr:cNvPr id="1" name="Line 1"/>
        <xdr:cNvSpPr>
          <a:spLocks/>
        </xdr:cNvSpPr>
      </xdr:nvSpPr>
      <xdr:spPr>
        <a:xfrm>
          <a:off x="361950" y="447675"/>
          <a:ext cx="13049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0</xdr:colOff>
      <xdr:row>2</xdr:row>
      <xdr:rowOff>9525</xdr:rowOff>
    </xdr:to>
    <xdr:sp>
      <xdr:nvSpPr>
        <xdr:cNvPr id="1"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2"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3"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4"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5" name="Line 5"/>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6"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7"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8" name="Line 5"/>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9"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0"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1" name="Line 5"/>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2"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3"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4" name="Line 5"/>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5"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6"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7" name="Line 5"/>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8"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9"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xdr:row>
      <xdr:rowOff>19050</xdr:rowOff>
    </xdr:to>
    <xdr:sp>
      <xdr:nvSpPr>
        <xdr:cNvPr id="20" name="Line 2"/>
        <xdr:cNvSpPr>
          <a:spLocks/>
        </xdr:cNvSpPr>
      </xdr:nvSpPr>
      <xdr:spPr>
        <a:xfrm>
          <a:off x="0" y="46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21" name="Line 5"/>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22"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23"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xdr:row>
      <xdr:rowOff>0</xdr:rowOff>
    </xdr:from>
    <xdr:to>
      <xdr:col>1</xdr:col>
      <xdr:colOff>1000125</xdr:colOff>
      <xdr:row>2</xdr:row>
      <xdr:rowOff>0</xdr:rowOff>
    </xdr:to>
    <xdr:sp>
      <xdr:nvSpPr>
        <xdr:cNvPr id="24" name="Line 2"/>
        <xdr:cNvSpPr>
          <a:spLocks/>
        </xdr:cNvSpPr>
      </xdr:nvSpPr>
      <xdr:spPr>
        <a:xfrm>
          <a:off x="495300" y="44767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628650</xdr:colOff>
      <xdr:row>2</xdr:row>
      <xdr:rowOff>9525</xdr:rowOff>
    </xdr:from>
    <xdr:to>
      <xdr:col>12</xdr:col>
      <xdr:colOff>409575</xdr:colOff>
      <xdr:row>2</xdr:row>
      <xdr:rowOff>9525</xdr:rowOff>
    </xdr:to>
    <xdr:sp>
      <xdr:nvSpPr>
        <xdr:cNvPr id="25" name="Line 5"/>
        <xdr:cNvSpPr>
          <a:spLocks/>
        </xdr:cNvSpPr>
      </xdr:nvSpPr>
      <xdr:spPr>
        <a:xfrm>
          <a:off x="41243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628650</xdr:colOff>
      <xdr:row>2</xdr:row>
      <xdr:rowOff>9525</xdr:rowOff>
    </xdr:from>
    <xdr:to>
      <xdr:col>12</xdr:col>
      <xdr:colOff>409575</xdr:colOff>
      <xdr:row>2</xdr:row>
      <xdr:rowOff>9525</xdr:rowOff>
    </xdr:to>
    <xdr:sp>
      <xdr:nvSpPr>
        <xdr:cNvPr id="26" name="Line 3"/>
        <xdr:cNvSpPr>
          <a:spLocks/>
        </xdr:cNvSpPr>
      </xdr:nvSpPr>
      <xdr:spPr>
        <a:xfrm>
          <a:off x="41243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628650</xdr:colOff>
      <xdr:row>2</xdr:row>
      <xdr:rowOff>9525</xdr:rowOff>
    </xdr:from>
    <xdr:to>
      <xdr:col>12</xdr:col>
      <xdr:colOff>409575</xdr:colOff>
      <xdr:row>2</xdr:row>
      <xdr:rowOff>9525</xdr:rowOff>
    </xdr:to>
    <xdr:sp>
      <xdr:nvSpPr>
        <xdr:cNvPr id="27" name="Line 3"/>
        <xdr:cNvSpPr>
          <a:spLocks/>
        </xdr:cNvSpPr>
      </xdr:nvSpPr>
      <xdr:spPr>
        <a:xfrm>
          <a:off x="41243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628650</xdr:colOff>
      <xdr:row>2</xdr:row>
      <xdr:rowOff>9525</xdr:rowOff>
    </xdr:from>
    <xdr:to>
      <xdr:col>12</xdr:col>
      <xdr:colOff>409575</xdr:colOff>
      <xdr:row>2</xdr:row>
      <xdr:rowOff>9525</xdr:rowOff>
    </xdr:to>
    <xdr:sp>
      <xdr:nvSpPr>
        <xdr:cNvPr id="28" name="Line 5"/>
        <xdr:cNvSpPr>
          <a:spLocks/>
        </xdr:cNvSpPr>
      </xdr:nvSpPr>
      <xdr:spPr>
        <a:xfrm>
          <a:off x="41243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628650</xdr:colOff>
      <xdr:row>2</xdr:row>
      <xdr:rowOff>9525</xdr:rowOff>
    </xdr:from>
    <xdr:to>
      <xdr:col>12</xdr:col>
      <xdr:colOff>409575</xdr:colOff>
      <xdr:row>2</xdr:row>
      <xdr:rowOff>9525</xdr:rowOff>
    </xdr:to>
    <xdr:sp>
      <xdr:nvSpPr>
        <xdr:cNvPr id="29" name="Line 3"/>
        <xdr:cNvSpPr>
          <a:spLocks/>
        </xdr:cNvSpPr>
      </xdr:nvSpPr>
      <xdr:spPr>
        <a:xfrm>
          <a:off x="41243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628650</xdr:colOff>
      <xdr:row>2</xdr:row>
      <xdr:rowOff>9525</xdr:rowOff>
    </xdr:from>
    <xdr:to>
      <xdr:col>12</xdr:col>
      <xdr:colOff>409575</xdr:colOff>
      <xdr:row>2</xdr:row>
      <xdr:rowOff>9525</xdr:rowOff>
    </xdr:to>
    <xdr:sp>
      <xdr:nvSpPr>
        <xdr:cNvPr id="30" name="Line 3"/>
        <xdr:cNvSpPr>
          <a:spLocks/>
        </xdr:cNvSpPr>
      </xdr:nvSpPr>
      <xdr:spPr>
        <a:xfrm>
          <a:off x="41243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4</xdr:row>
      <xdr:rowOff>28575</xdr:rowOff>
    </xdr:from>
    <xdr:to>
      <xdr:col>1</xdr:col>
      <xdr:colOff>1228725</xdr:colOff>
      <xdr:row>4</xdr:row>
      <xdr:rowOff>28575</xdr:rowOff>
    </xdr:to>
    <xdr:sp>
      <xdr:nvSpPr>
        <xdr:cNvPr id="1" name="Line 1"/>
        <xdr:cNvSpPr>
          <a:spLocks/>
        </xdr:cNvSpPr>
      </xdr:nvSpPr>
      <xdr:spPr>
        <a:xfrm>
          <a:off x="495300" y="51435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2</xdr:row>
      <xdr:rowOff>19050</xdr:rowOff>
    </xdr:from>
    <xdr:to>
      <xdr:col>2</xdr:col>
      <xdr:colOff>238125</xdr:colOff>
      <xdr:row>2</xdr:row>
      <xdr:rowOff>19050</xdr:rowOff>
    </xdr:to>
    <xdr:sp>
      <xdr:nvSpPr>
        <xdr:cNvPr id="1" name="Line 3"/>
        <xdr:cNvSpPr>
          <a:spLocks/>
        </xdr:cNvSpPr>
      </xdr:nvSpPr>
      <xdr:spPr>
        <a:xfrm>
          <a:off x="390525" y="438150"/>
          <a:ext cx="11049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xdr:row>
      <xdr:rowOff>19050</xdr:rowOff>
    </xdr:from>
    <xdr:to>
      <xdr:col>1</xdr:col>
      <xdr:colOff>1343025</xdr:colOff>
      <xdr:row>2</xdr:row>
      <xdr:rowOff>19050</xdr:rowOff>
    </xdr:to>
    <xdr:sp>
      <xdr:nvSpPr>
        <xdr:cNvPr id="1" name="Line 1"/>
        <xdr:cNvSpPr>
          <a:spLocks/>
        </xdr:cNvSpPr>
      </xdr:nvSpPr>
      <xdr:spPr>
        <a:xfrm>
          <a:off x="247650" y="438150"/>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xdr:row>
      <xdr:rowOff>0</xdr:rowOff>
    </xdr:from>
    <xdr:to>
      <xdr:col>1</xdr:col>
      <xdr:colOff>1257300</xdr:colOff>
      <xdr:row>2</xdr:row>
      <xdr:rowOff>0</xdr:rowOff>
    </xdr:to>
    <xdr:sp>
      <xdr:nvSpPr>
        <xdr:cNvPr id="1" name="Line 1"/>
        <xdr:cNvSpPr>
          <a:spLocks/>
        </xdr:cNvSpPr>
      </xdr:nvSpPr>
      <xdr:spPr>
        <a:xfrm>
          <a:off x="342900" y="47625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2</xdr:row>
      <xdr:rowOff>19050</xdr:rowOff>
    </xdr:from>
    <xdr:to>
      <xdr:col>1</xdr:col>
      <xdr:colOff>1238250</xdr:colOff>
      <xdr:row>2</xdr:row>
      <xdr:rowOff>19050</xdr:rowOff>
    </xdr:to>
    <xdr:sp>
      <xdr:nvSpPr>
        <xdr:cNvPr id="1" name="Line 1"/>
        <xdr:cNvSpPr>
          <a:spLocks/>
        </xdr:cNvSpPr>
      </xdr:nvSpPr>
      <xdr:spPr>
        <a:xfrm>
          <a:off x="390525" y="438150"/>
          <a:ext cx="13049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xdr:row>
      <xdr:rowOff>57150</xdr:rowOff>
    </xdr:from>
    <xdr:to>
      <xdr:col>1</xdr:col>
      <xdr:colOff>1162050</xdr:colOff>
      <xdr:row>2</xdr:row>
      <xdr:rowOff>57150</xdr:rowOff>
    </xdr:to>
    <xdr:sp>
      <xdr:nvSpPr>
        <xdr:cNvPr id="1" name="Line 2"/>
        <xdr:cNvSpPr>
          <a:spLocks/>
        </xdr:cNvSpPr>
      </xdr:nvSpPr>
      <xdr:spPr>
        <a:xfrm>
          <a:off x="285750" y="485775"/>
          <a:ext cx="1285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xdr:row>
      <xdr:rowOff>19050</xdr:rowOff>
    </xdr:from>
    <xdr:to>
      <xdr:col>1</xdr:col>
      <xdr:colOff>1190625</xdr:colOff>
      <xdr:row>2</xdr:row>
      <xdr:rowOff>19050</xdr:rowOff>
    </xdr:to>
    <xdr:sp>
      <xdr:nvSpPr>
        <xdr:cNvPr id="1" name="Line 3"/>
        <xdr:cNvSpPr>
          <a:spLocks/>
        </xdr:cNvSpPr>
      </xdr:nvSpPr>
      <xdr:spPr>
        <a:xfrm>
          <a:off x="428625" y="457200"/>
          <a:ext cx="11049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2" name="Line 2"/>
        <xdr:cNvSpPr>
          <a:spLocks/>
        </xdr:cNvSpPr>
      </xdr:nvSpPr>
      <xdr:spPr>
        <a:xfrm>
          <a:off x="44672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xdr:row>
      <xdr:rowOff>57150</xdr:rowOff>
    </xdr:from>
    <xdr:to>
      <xdr:col>1</xdr:col>
      <xdr:colOff>1238250</xdr:colOff>
      <xdr:row>2</xdr:row>
      <xdr:rowOff>57150</xdr:rowOff>
    </xdr:to>
    <xdr:sp>
      <xdr:nvSpPr>
        <xdr:cNvPr id="1" name="Line 3"/>
        <xdr:cNvSpPr>
          <a:spLocks/>
        </xdr:cNvSpPr>
      </xdr:nvSpPr>
      <xdr:spPr>
        <a:xfrm>
          <a:off x="523875" y="457200"/>
          <a:ext cx="11049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xdr:row>
      <xdr:rowOff>19050</xdr:rowOff>
    </xdr:from>
    <xdr:to>
      <xdr:col>1</xdr:col>
      <xdr:colOff>1390650</xdr:colOff>
      <xdr:row>2</xdr:row>
      <xdr:rowOff>19050</xdr:rowOff>
    </xdr:to>
    <xdr:sp>
      <xdr:nvSpPr>
        <xdr:cNvPr id="1" name="Line 1"/>
        <xdr:cNvSpPr>
          <a:spLocks/>
        </xdr:cNvSpPr>
      </xdr:nvSpPr>
      <xdr:spPr>
        <a:xfrm>
          <a:off x="447675" y="43815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xdr:row>
      <xdr:rowOff>47625</xdr:rowOff>
    </xdr:from>
    <xdr:to>
      <xdr:col>1</xdr:col>
      <xdr:colOff>1171575</xdr:colOff>
      <xdr:row>2</xdr:row>
      <xdr:rowOff>47625</xdr:rowOff>
    </xdr:to>
    <xdr:sp>
      <xdr:nvSpPr>
        <xdr:cNvPr id="1" name="Line 56"/>
        <xdr:cNvSpPr>
          <a:spLocks/>
        </xdr:cNvSpPr>
      </xdr:nvSpPr>
      <xdr:spPr>
        <a:xfrm>
          <a:off x="514350" y="5238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219075</xdr:rowOff>
    </xdr:from>
    <xdr:to>
      <xdr:col>0</xdr:col>
      <xdr:colOff>0</xdr:colOff>
      <xdr:row>1</xdr:row>
      <xdr:rowOff>219075</xdr:rowOff>
    </xdr:to>
    <xdr:sp>
      <xdr:nvSpPr>
        <xdr:cNvPr id="1" name="Line 48"/>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xdr:row>
      <xdr:rowOff>19050</xdr:rowOff>
    </xdr:from>
    <xdr:to>
      <xdr:col>1</xdr:col>
      <xdr:colOff>1381125</xdr:colOff>
      <xdr:row>2</xdr:row>
      <xdr:rowOff>19050</xdr:rowOff>
    </xdr:to>
    <xdr:sp>
      <xdr:nvSpPr>
        <xdr:cNvPr id="2" name="Line 48"/>
        <xdr:cNvSpPr>
          <a:spLocks/>
        </xdr:cNvSpPr>
      </xdr:nvSpPr>
      <xdr:spPr>
        <a:xfrm flipH="1">
          <a:off x="371475" y="49530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0</xdr:col>
      <xdr:colOff>0</xdr:colOff>
      <xdr:row>4</xdr:row>
      <xdr:rowOff>9525</xdr:rowOff>
    </xdr:to>
    <xdr:sp>
      <xdr:nvSpPr>
        <xdr:cNvPr id="1" name="Line 1"/>
        <xdr:cNvSpPr>
          <a:spLocks/>
        </xdr:cNvSpPr>
      </xdr:nvSpPr>
      <xdr:spPr>
        <a:xfrm>
          <a:off x="0" y="48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4"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5"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6"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7"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8"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9"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0"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1"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2"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3"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xdr:row>
      <xdr:rowOff>9525</xdr:rowOff>
    </xdr:from>
    <xdr:to>
      <xdr:col>0</xdr:col>
      <xdr:colOff>0</xdr:colOff>
      <xdr:row>4</xdr:row>
      <xdr:rowOff>9525</xdr:rowOff>
    </xdr:to>
    <xdr:sp>
      <xdr:nvSpPr>
        <xdr:cNvPr id="14" name="Line 1"/>
        <xdr:cNvSpPr>
          <a:spLocks/>
        </xdr:cNvSpPr>
      </xdr:nvSpPr>
      <xdr:spPr>
        <a:xfrm>
          <a:off x="0" y="48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5"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6"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7"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8"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9"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0"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2"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3"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4"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5"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6"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xdr:row>
      <xdr:rowOff>9525</xdr:rowOff>
    </xdr:from>
    <xdr:to>
      <xdr:col>0</xdr:col>
      <xdr:colOff>0</xdr:colOff>
      <xdr:row>4</xdr:row>
      <xdr:rowOff>9525</xdr:rowOff>
    </xdr:to>
    <xdr:sp>
      <xdr:nvSpPr>
        <xdr:cNvPr id="27" name="Line 1"/>
        <xdr:cNvSpPr>
          <a:spLocks/>
        </xdr:cNvSpPr>
      </xdr:nvSpPr>
      <xdr:spPr>
        <a:xfrm>
          <a:off x="0" y="48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8"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9"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0"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1"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2"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3"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4"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5"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6"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7"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8"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9"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4</xdr:row>
      <xdr:rowOff>38100</xdr:rowOff>
    </xdr:from>
    <xdr:to>
      <xdr:col>1</xdr:col>
      <xdr:colOff>1371600</xdr:colOff>
      <xdr:row>4</xdr:row>
      <xdr:rowOff>38100</xdr:rowOff>
    </xdr:to>
    <xdr:sp>
      <xdr:nvSpPr>
        <xdr:cNvPr id="40" name="Line 1"/>
        <xdr:cNvSpPr>
          <a:spLocks/>
        </xdr:cNvSpPr>
      </xdr:nvSpPr>
      <xdr:spPr>
        <a:xfrm>
          <a:off x="428625" y="51435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219075</xdr:colOff>
      <xdr:row>1</xdr:row>
      <xdr:rowOff>219075</xdr:rowOff>
    </xdr:from>
    <xdr:to>
      <xdr:col>18</xdr:col>
      <xdr:colOff>219075</xdr:colOff>
      <xdr:row>1</xdr:row>
      <xdr:rowOff>219075</xdr:rowOff>
    </xdr:to>
    <xdr:sp>
      <xdr:nvSpPr>
        <xdr:cNvPr id="41" name="Line 1"/>
        <xdr:cNvSpPr>
          <a:spLocks/>
        </xdr:cNvSpPr>
      </xdr:nvSpPr>
      <xdr:spPr>
        <a:xfrm>
          <a:off x="8991600" y="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xdr:row>
      <xdr:rowOff>219075</xdr:rowOff>
    </xdr:from>
    <xdr:to>
      <xdr:col>9</xdr:col>
      <xdr:colOff>400050</xdr:colOff>
      <xdr:row>1</xdr:row>
      <xdr:rowOff>219075</xdr:rowOff>
    </xdr:to>
    <xdr:sp>
      <xdr:nvSpPr>
        <xdr:cNvPr id="42" name="Line 6"/>
        <xdr:cNvSpPr>
          <a:spLocks/>
        </xdr:cNvSpPr>
      </xdr:nvSpPr>
      <xdr:spPr>
        <a:xfrm>
          <a:off x="4667250" y="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219075</xdr:colOff>
      <xdr:row>1</xdr:row>
      <xdr:rowOff>219075</xdr:rowOff>
    </xdr:from>
    <xdr:to>
      <xdr:col>18</xdr:col>
      <xdr:colOff>219075</xdr:colOff>
      <xdr:row>1</xdr:row>
      <xdr:rowOff>219075</xdr:rowOff>
    </xdr:to>
    <xdr:sp>
      <xdr:nvSpPr>
        <xdr:cNvPr id="43" name="Line 1"/>
        <xdr:cNvSpPr>
          <a:spLocks/>
        </xdr:cNvSpPr>
      </xdr:nvSpPr>
      <xdr:spPr>
        <a:xfrm>
          <a:off x="8991600" y="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xdr:row>
      <xdr:rowOff>219075</xdr:rowOff>
    </xdr:from>
    <xdr:to>
      <xdr:col>9</xdr:col>
      <xdr:colOff>400050</xdr:colOff>
      <xdr:row>1</xdr:row>
      <xdr:rowOff>219075</xdr:rowOff>
    </xdr:to>
    <xdr:sp>
      <xdr:nvSpPr>
        <xdr:cNvPr id="44" name="Line 6"/>
        <xdr:cNvSpPr>
          <a:spLocks/>
        </xdr:cNvSpPr>
      </xdr:nvSpPr>
      <xdr:spPr>
        <a:xfrm>
          <a:off x="4667250" y="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219075</xdr:colOff>
      <xdr:row>1</xdr:row>
      <xdr:rowOff>219075</xdr:rowOff>
    </xdr:from>
    <xdr:to>
      <xdr:col>18</xdr:col>
      <xdr:colOff>219075</xdr:colOff>
      <xdr:row>1</xdr:row>
      <xdr:rowOff>219075</xdr:rowOff>
    </xdr:to>
    <xdr:sp>
      <xdr:nvSpPr>
        <xdr:cNvPr id="45" name="Line 1"/>
        <xdr:cNvSpPr>
          <a:spLocks/>
        </xdr:cNvSpPr>
      </xdr:nvSpPr>
      <xdr:spPr>
        <a:xfrm>
          <a:off x="8991600" y="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xdr:row>
      <xdr:rowOff>219075</xdr:rowOff>
    </xdr:from>
    <xdr:to>
      <xdr:col>9</xdr:col>
      <xdr:colOff>400050</xdr:colOff>
      <xdr:row>1</xdr:row>
      <xdr:rowOff>219075</xdr:rowOff>
    </xdr:to>
    <xdr:sp>
      <xdr:nvSpPr>
        <xdr:cNvPr id="46" name="Line 6"/>
        <xdr:cNvSpPr>
          <a:spLocks/>
        </xdr:cNvSpPr>
      </xdr:nvSpPr>
      <xdr:spPr>
        <a:xfrm>
          <a:off x="4667250" y="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1</xdr:row>
      <xdr:rowOff>219075</xdr:rowOff>
    </xdr:from>
    <xdr:to>
      <xdr:col>17</xdr:col>
      <xdr:colOff>219075</xdr:colOff>
      <xdr:row>1</xdr:row>
      <xdr:rowOff>219075</xdr:rowOff>
    </xdr:to>
    <xdr:sp>
      <xdr:nvSpPr>
        <xdr:cNvPr id="47" name="Line 1"/>
        <xdr:cNvSpPr>
          <a:spLocks/>
        </xdr:cNvSpPr>
      </xdr:nvSpPr>
      <xdr:spPr>
        <a:xfrm>
          <a:off x="8401050" y="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1</xdr:row>
      <xdr:rowOff>219075</xdr:rowOff>
    </xdr:from>
    <xdr:to>
      <xdr:col>8</xdr:col>
      <xdr:colOff>400050</xdr:colOff>
      <xdr:row>1</xdr:row>
      <xdr:rowOff>219075</xdr:rowOff>
    </xdr:to>
    <xdr:sp>
      <xdr:nvSpPr>
        <xdr:cNvPr id="48" name="Line 6"/>
        <xdr:cNvSpPr>
          <a:spLocks/>
        </xdr:cNvSpPr>
      </xdr:nvSpPr>
      <xdr:spPr>
        <a:xfrm>
          <a:off x="4152900" y="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1</xdr:row>
      <xdr:rowOff>219075</xdr:rowOff>
    </xdr:from>
    <xdr:to>
      <xdr:col>17</xdr:col>
      <xdr:colOff>219075</xdr:colOff>
      <xdr:row>1</xdr:row>
      <xdr:rowOff>219075</xdr:rowOff>
    </xdr:to>
    <xdr:sp>
      <xdr:nvSpPr>
        <xdr:cNvPr id="49" name="Line 1"/>
        <xdr:cNvSpPr>
          <a:spLocks/>
        </xdr:cNvSpPr>
      </xdr:nvSpPr>
      <xdr:spPr>
        <a:xfrm>
          <a:off x="8401050" y="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1</xdr:row>
      <xdr:rowOff>219075</xdr:rowOff>
    </xdr:from>
    <xdr:to>
      <xdr:col>8</xdr:col>
      <xdr:colOff>400050</xdr:colOff>
      <xdr:row>1</xdr:row>
      <xdr:rowOff>219075</xdr:rowOff>
    </xdr:to>
    <xdr:sp>
      <xdr:nvSpPr>
        <xdr:cNvPr id="50" name="Line 6"/>
        <xdr:cNvSpPr>
          <a:spLocks/>
        </xdr:cNvSpPr>
      </xdr:nvSpPr>
      <xdr:spPr>
        <a:xfrm>
          <a:off x="4152900" y="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1</xdr:row>
      <xdr:rowOff>219075</xdr:rowOff>
    </xdr:from>
    <xdr:to>
      <xdr:col>17</xdr:col>
      <xdr:colOff>219075</xdr:colOff>
      <xdr:row>1</xdr:row>
      <xdr:rowOff>219075</xdr:rowOff>
    </xdr:to>
    <xdr:sp>
      <xdr:nvSpPr>
        <xdr:cNvPr id="51" name="Line 1"/>
        <xdr:cNvSpPr>
          <a:spLocks/>
        </xdr:cNvSpPr>
      </xdr:nvSpPr>
      <xdr:spPr>
        <a:xfrm>
          <a:off x="8401050" y="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1</xdr:row>
      <xdr:rowOff>219075</xdr:rowOff>
    </xdr:from>
    <xdr:to>
      <xdr:col>8</xdr:col>
      <xdr:colOff>400050</xdr:colOff>
      <xdr:row>1</xdr:row>
      <xdr:rowOff>219075</xdr:rowOff>
    </xdr:to>
    <xdr:sp>
      <xdr:nvSpPr>
        <xdr:cNvPr id="52" name="Line 6"/>
        <xdr:cNvSpPr>
          <a:spLocks/>
        </xdr:cNvSpPr>
      </xdr:nvSpPr>
      <xdr:spPr>
        <a:xfrm>
          <a:off x="4152900" y="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20XD%20(DU%20TOAN%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01 (THU)"/>
      <sheetName val="PL02"/>
      <sheetName val="PL 03"/>
      <sheetName val="QLNN"/>
      <sheetName val="DVI SN"/>
      <sheetName val="SN GIAODUC"/>
      <sheetName val="PL 05"/>
      <sheetName val="PL06"/>
      <sheetName val="PL07"/>
      <sheetName val="CD THU-CHI XA"/>
      <sheetName val="ATGT"/>
      <sheetName val="DAC THU"/>
      <sheetName val="thu HP"/>
      <sheetName val="THU DV"/>
    </sheetNames>
    <sheetDataSet>
      <sheetData sheetId="0">
        <row r="32">
          <cell r="F32">
            <v>808889</v>
          </cell>
        </row>
      </sheetData>
      <sheetData sheetId="1">
        <row r="56">
          <cell r="D56">
            <v>5645</v>
          </cell>
        </row>
      </sheetData>
      <sheetData sheetId="2">
        <row r="10">
          <cell r="F10">
            <v>12120</v>
          </cell>
        </row>
        <row r="15">
          <cell r="G15">
            <v>50238</v>
          </cell>
        </row>
        <row r="30">
          <cell r="G30">
            <v>28350</v>
          </cell>
        </row>
        <row r="34">
          <cell r="G34">
            <v>4598</v>
          </cell>
        </row>
        <row r="41">
          <cell r="G41">
            <v>923</v>
          </cell>
        </row>
        <row r="44">
          <cell r="G44">
            <v>1123</v>
          </cell>
        </row>
        <row r="48">
          <cell r="G48">
            <v>249625</v>
          </cell>
        </row>
        <row r="62">
          <cell r="G62">
            <v>5000</v>
          </cell>
        </row>
        <row r="63">
          <cell r="G63">
            <v>47658</v>
          </cell>
        </row>
        <row r="89">
          <cell r="G89">
            <v>33019</v>
          </cell>
        </row>
        <row r="93">
          <cell r="G93">
            <v>1265</v>
          </cell>
        </row>
        <row r="95">
          <cell r="G95">
            <v>8000</v>
          </cell>
        </row>
        <row r="98">
          <cell r="F98">
            <v>1989</v>
          </cell>
        </row>
        <row r="100">
          <cell r="G100">
            <v>9698</v>
          </cell>
        </row>
      </sheetData>
      <sheetData sheetId="3">
        <row r="14">
          <cell r="S14">
            <v>11061</v>
          </cell>
          <cell r="W14" t="e">
            <v>#REF!</v>
          </cell>
        </row>
      </sheetData>
      <sheetData sheetId="6">
        <row r="54">
          <cell r="T54">
            <v>19</v>
          </cell>
          <cell r="U54">
            <v>2</v>
          </cell>
        </row>
        <row r="55">
          <cell r="T55">
            <v>19</v>
          </cell>
          <cell r="U55">
            <v>2</v>
          </cell>
        </row>
      </sheetData>
      <sheetData sheetId="7">
        <row r="34">
          <cell r="K34">
            <v>0</v>
          </cell>
          <cell r="L34">
            <v>0</v>
          </cell>
          <cell r="M34">
            <v>0</v>
          </cell>
          <cell r="N34">
            <v>0</v>
          </cell>
          <cell r="O34">
            <v>0</v>
          </cell>
        </row>
      </sheetData>
      <sheetData sheetId="11">
        <row r="39">
          <cell r="D39">
            <v>200</v>
          </cell>
        </row>
        <row r="41">
          <cell r="D41">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X51"/>
  <sheetViews>
    <sheetView zoomScale="110" zoomScaleNormal="110" zoomScalePageLayoutView="0" workbookViewId="0" topLeftCell="A1">
      <selection activeCell="R6" sqref="R6"/>
    </sheetView>
  </sheetViews>
  <sheetFormatPr defaultColWidth="9.140625" defaultRowHeight="12.75"/>
  <cols>
    <col min="1" max="1" width="6.140625" style="546" customWidth="1"/>
    <col min="2" max="2" width="56.8515625" style="33" customWidth="1"/>
    <col min="3" max="3" width="10.7109375" style="33" customWidth="1"/>
    <col min="4" max="4" width="12.00390625" style="33" customWidth="1"/>
    <col min="5" max="5" width="12.00390625" style="16" customWidth="1"/>
    <col min="6" max="6" width="11.8515625" style="16" hidden="1" customWidth="1"/>
    <col min="7" max="7" width="11.28125" style="16" hidden="1" customWidth="1"/>
    <col min="8" max="8" width="14.57421875" style="582" hidden="1" customWidth="1"/>
    <col min="9" max="9" width="11.421875" style="582" hidden="1" customWidth="1"/>
    <col min="10" max="10" width="14.421875" style="582" hidden="1" customWidth="1"/>
    <col min="11" max="11" width="9.140625" style="582" hidden="1" customWidth="1"/>
    <col min="12" max="12" width="16.8515625" style="582" hidden="1" customWidth="1"/>
    <col min="13" max="14" width="17.57421875" style="582" hidden="1" customWidth="1"/>
    <col min="15" max="15" width="9.140625" style="582" hidden="1" customWidth="1"/>
    <col min="16" max="16384" width="9.140625" style="33" customWidth="1"/>
  </cols>
  <sheetData>
    <row r="1" ht="16.5">
      <c r="A1" s="24" t="s">
        <v>852</v>
      </c>
    </row>
    <row r="2" ht="16.5">
      <c r="A2" s="24" t="s">
        <v>851</v>
      </c>
    </row>
    <row r="3" spans="2:5" ht="6.75" customHeight="1">
      <c r="B3" s="213"/>
      <c r="C3" s="213"/>
      <c r="D3" s="213"/>
      <c r="E3" s="17"/>
    </row>
    <row r="4" spans="1:5" ht="18.75" customHeight="1">
      <c r="A4" s="890" t="s">
        <v>273</v>
      </c>
      <c r="B4" s="890"/>
      <c r="C4" s="890"/>
      <c r="D4" s="890"/>
      <c r="E4" s="890"/>
    </row>
    <row r="5" spans="1:5" ht="20.25" customHeight="1">
      <c r="A5" s="896" t="s">
        <v>837</v>
      </c>
      <c r="B5" s="896"/>
      <c r="C5" s="896"/>
      <c r="D5" s="896"/>
      <c r="E5" s="896"/>
    </row>
    <row r="6" spans="1:24" ht="18" customHeight="1">
      <c r="A6" s="889" t="s">
        <v>853</v>
      </c>
      <c r="B6" s="889"/>
      <c r="C6" s="889"/>
      <c r="D6" s="889"/>
      <c r="E6" s="889"/>
      <c r="R6" s="886"/>
      <c r="S6" s="886"/>
      <c r="T6" s="886"/>
      <c r="U6" s="886"/>
      <c r="V6" s="886"/>
      <c r="W6" s="886"/>
      <c r="X6" s="886"/>
    </row>
    <row r="7" spans="2:5" ht="21" customHeight="1">
      <c r="B7" s="583"/>
      <c r="C7" s="583"/>
      <c r="E7" s="584" t="s">
        <v>707</v>
      </c>
    </row>
    <row r="8" spans="1:15" s="546" customFormat="1" ht="21.75" customHeight="1">
      <c r="A8" s="891" t="s">
        <v>266</v>
      </c>
      <c r="B8" s="893" t="s">
        <v>274</v>
      </c>
      <c r="C8" s="893" t="s">
        <v>275</v>
      </c>
      <c r="D8" s="895" t="s">
        <v>706</v>
      </c>
      <c r="E8" s="895"/>
      <c r="F8" s="888" t="s">
        <v>294</v>
      </c>
      <c r="G8" s="888"/>
      <c r="H8" s="55"/>
      <c r="I8" s="55"/>
      <c r="J8" s="55"/>
      <c r="K8" s="55"/>
      <c r="L8" s="55"/>
      <c r="M8" s="55"/>
      <c r="N8" s="55"/>
      <c r="O8" s="55"/>
    </row>
    <row r="9" spans="1:15" s="546" customFormat="1" ht="56.25" customHeight="1">
      <c r="A9" s="892"/>
      <c r="B9" s="894"/>
      <c r="C9" s="894"/>
      <c r="D9" s="359" t="s">
        <v>287</v>
      </c>
      <c r="E9" s="359" t="s">
        <v>618</v>
      </c>
      <c r="F9" s="585" t="s">
        <v>448</v>
      </c>
      <c r="G9" s="585" t="s">
        <v>449</v>
      </c>
      <c r="H9" s="55"/>
      <c r="I9" s="55"/>
      <c r="J9" s="55"/>
      <c r="K9" s="55"/>
      <c r="L9" s="55"/>
      <c r="M9" s="55"/>
      <c r="N9" s="55"/>
      <c r="O9" s="55"/>
    </row>
    <row r="10" spans="1:15" s="592" customFormat="1" ht="37.5" customHeight="1">
      <c r="A10" s="96" t="s">
        <v>267</v>
      </c>
      <c r="B10" s="586" t="s">
        <v>616</v>
      </c>
      <c r="C10" s="587"/>
      <c r="D10" s="588">
        <f>D11+D27+D30</f>
        <v>471183</v>
      </c>
      <c r="E10" s="588">
        <f>E11+E27+E30</f>
        <v>500554</v>
      </c>
      <c r="F10" s="589" t="e">
        <f>F11+#REF!+#REF!</f>
        <v>#REF!</v>
      </c>
      <c r="G10" s="589" t="e">
        <f>G11+#REF!+#REF!</f>
        <v>#REF!</v>
      </c>
      <c r="H10" s="590">
        <v>0</v>
      </c>
      <c r="I10" s="590">
        <f>E10-D10</f>
        <v>29371</v>
      </c>
      <c r="J10" s="591"/>
      <c r="K10" s="591"/>
      <c r="L10" s="591"/>
      <c r="M10" s="591"/>
      <c r="N10" s="591"/>
      <c r="O10" s="591"/>
    </row>
    <row r="11" spans="1:15" s="592" customFormat="1" ht="29.25" customHeight="1">
      <c r="A11" s="96" t="s">
        <v>268</v>
      </c>
      <c r="B11" s="586" t="s">
        <v>565</v>
      </c>
      <c r="C11" s="587"/>
      <c r="D11" s="588">
        <f>D12+D26</f>
        <v>461000</v>
      </c>
      <c r="E11" s="588">
        <f>E12+E26</f>
        <v>485000</v>
      </c>
      <c r="F11" s="589" t="e">
        <f>F12+F26</f>
        <v>#REF!</v>
      </c>
      <c r="G11" s="589" t="e">
        <f>G12+G26</f>
        <v>#REF!</v>
      </c>
      <c r="H11" s="590" t="e">
        <f aca="true" t="shared" si="0" ref="H11:H42">G11+F11</f>
        <v>#REF!</v>
      </c>
      <c r="I11" s="590">
        <f>E11-D11</f>
        <v>24000</v>
      </c>
      <c r="J11" s="593">
        <f>E12-D12</f>
        <v>9000</v>
      </c>
      <c r="K11" s="591"/>
      <c r="L11" s="591"/>
      <c r="M11" s="591"/>
      <c r="N11" s="591"/>
      <c r="O11" s="591"/>
    </row>
    <row r="12" spans="1:15" s="592" customFormat="1" ht="21.75" customHeight="1">
      <c r="A12" s="96" t="s">
        <v>235</v>
      </c>
      <c r="B12" s="586" t="s">
        <v>566</v>
      </c>
      <c r="C12" s="587"/>
      <c r="D12" s="588">
        <f>D13+D18+D19+D20+D21+D22+D24</f>
        <v>311000</v>
      </c>
      <c r="E12" s="588">
        <f>E13+E18+E19+E20+E21+E22+E24</f>
        <v>320000</v>
      </c>
      <c r="F12" s="588" t="e">
        <f>F13+F18+F19+F20+F21+F22+#REF!+F24+#REF!</f>
        <v>#REF!</v>
      </c>
      <c r="G12" s="588" t="e">
        <f>G13+G18+G19+G20+G21+G22+#REF!+G24+#REF!</f>
        <v>#REF!</v>
      </c>
      <c r="H12" s="594" t="e">
        <f>H13+H18+H19+H20+H21+H22+#REF!+H24+#REF!</f>
        <v>#REF!</v>
      </c>
      <c r="I12" s="594" t="e">
        <f>I13+I18+I19+I20+I21+I22+#REF!+I24+#REF!</f>
        <v>#REF!</v>
      </c>
      <c r="J12" s="594" t="e">
        <f>J13+J18+J19+J20+J21+J22+#REF!+J24+#REF!</f>
        <v>#REF!</v>
      </c>
      <c r="K12" s="595" t="e">
        <f>K13+K18+K19+K20+K21+K22+#REF!+K24+#REF!</f>
        <v>#REF!</v>
      </c>
      <c r="L12" s="594" t="e">
        <f>L13+L18+L19+L20+L21+L22+#REF!+L24+#REF!</f>
        <v>#REF!</v>
      </c>
      <c r="M12" s="594" t="e">
        <f>M13+M18+M19+M20+M21+M22+#REF!+M24+#REF!</f>
        <v>#REF!</v>
      </c>
      <c r="N12" s="591"/>
      <c r="O12" s="591"/>
    </row>
    <row r="13" spans="1:15" s="592" customFormat="1" ht="18" customHeight="1">
      <c r="A13" s="42">
        <v>1</v>
      </c>
      <c r="B13" s="372" t="s">
        <v>276</v>
      </c>
      <c r="C13" s="596"/>
      <c r="D13" s="597">
        <f>SUM(D14:D17)</f>
        <v>115000</v>
      </c>
      <c r="E13" s="597">
        <f>SUM(E14:E17)</f>
        <v>115000</v>
      </c>
      <c r="F13" s="598">
        <f aca="true" t="shared" si="1" ref="F13:F25">E13-G13</f>
        <v>88000</v>
      </c>
      <c r="G13" s="598">
        <f>SUM(G14:G17)</f>
        <v>27000</v>
      </c>
      <c r="H13" s="593">
        <f t="shared" si="0"/>
        <v>115000</v>
      </c>
      <c r="I13" s="593">
        <f aca="true" t="shared" si="2" ref="I13:I26">E13-D13</f>
        <v>0</v>
      </c>
      <c r="J13" s="593">
        <f aca="true" t="shared" si="3" ref="J13:J26">E13-D13</f>
        <v>0</v>
      </c>
      <c r="K13" s="591"/>
      <c r="L13" s="599">
        <v>109000</v>
      </c>
      <c r="M13" s="599">
        <f aca="true" t="shared" si="4" ref="M13:M26">L13-D13</f>
        <v>-6000</v>
      </c>
      <c r="N13" s="591"/>
      <c r="O13" s="591"/>
    </row>
    <row r="14" spans="1:15" s="605" customFormat="1" ht="18" customHeight="1">
      <c r="A14" s="374"/>
      <c r="B14" s="600" t="s">
        <v>534</v>
      </c>
      <c r="C14" s="601">
        <v>0.5</v>
      </c>
      <c r="D14" s="602">
        <v>22500</v>
      </c>
      <c r="E14" s="602">
        <f>D14</f>
        <v>22500</v>
      </c>
      <c r="F14" s="598">
        <f t="shared" si="1"/>
        <v>22500</v>
      </c>
      <c r="G14" s="603"/>
      <c r="H14" s="593">
        <f t="shared" si="0"/>
        <v>22500</v>
      </c>
      <c r="I14" s="593">
        <f t="shared" si="2"/>
        <v>0</v>
      </c>
      <c r="J14" s="593">
        <f t="shared" si="3"/>
        <v>0</v>
      </c>
      <c r="K14" s="604"/>
      <c r="L14" s="599">
        <v>20000</v>
      </c>
      <c r="M14" s="599">
        <f t="shared" si="4"/>
        <v>-2500</v>
      </c>
      <c r="N14" s="604"/>
      <c r="O14" s="604"/>
    </row>
    <row r="15" spans="1:15" s="605" customFormat="1" ht="18" customHeight="1">
      <c r="A15" s="374"/>
      <c r="B15" s="600" t="s">
        <v>535</v>
      </c>
      <c r="C15" s="601">
        <v>0.5</v>
      </c>
      <c r="D15" s="602">
        <v>84000</v>
      </c>
      <c r="E15" s="602">
        <f>D15</f>
        <v>84000</v>
      </c>
      <c r="F15" s="598">
        <f t="shared" si="1"/>
        <v>58070</v>
      </c>
      <c r="G15" s="606">
        <v>25930</v>
      </c>
      <c r="H15" s="593">
        <f t="shared" si="0"/>
        <v>84000</v>
      </c>
      <c r="I15" s="593">
        <f t="shared" si="2"/>
        <v>0</v>
      </c>
      <c r="J15" s="593">
        <f t="shared" si="3"/>
        <v>0</v>
      </c>
      <c r="K15" s="607" t="e">
        <f>J12*47%</f>
        <v>#REF!</v>
      </c>
      <c r="L15" s="599">
        <v>83000</v>
      </c>
      <c r="M15" s="599">
        <f t="shared" si="4"/>
        <v>-1000</v>
      </c>
      <c r="N15" s="604"/>
      <c r="O15" s="604"/>
    </row>
    <row r="16" spans="1:15" s="605" customFormat="1" ht="18" customHeight="1">
      <c r="A16" s="374"/>
      <c r="B16" s="600" t="s">
        <v>536</v>
      </c>
      <c r="C16" s="601">
        <v>1</v>
      </c>
      <c r="D16" s="602">
        <v>8000</v>
      </c>
      <c r="E16" s="602">
        <f>D16</f>
        <v>8000</v>
      </c>
      <c r="F16" s="598">
        <f t="shared" si="1"/>
        <v>7860</v>
      </c>
      <c r="G16" s="606">
        <v>140</v>
      </c>
      <c r="H16" s="593">
        <f t="shared" si="0"/>
        <v>8000</v>
      </c>
      <c r="I16" s="593">
        <f t="shared" si="2"/>
        <v>0</v>
      </c>
      <c r="J16" s="593">
        <f t="shared" si="3"/>
        <v>0</v>
      </c>
      <c r="K16" s="604"/>
      <c r="L16" s="599">
        <v>4800</v>
      </c>
      <c r="M16" s="599">
        <f t="shared" si="4"/>
        <v>-3200</v>
      </c>
      <c r="N16" s="604" t="s">
        <v>598</v>
      </c>
      <c r="O16" s="604"/>
    </row>
    <row r="17" spans="1:15" s="605" customFormat="1" ht="18" customHeight="1">
      <c r="A17" s="374"/>
      <c r="B17" s="600" t="s">
        <v>537</v>
      </c>
      <c r="C17" s="601">
        <v>0.5</v>
      </c>
      <c r="D17" s="602">
        <v>500</v>
      </c>
      <c r="E17" s="602">
        <f>D17</f>
        <v>500</v>
      </c>
      <c r="F17" s="598">
        <f t="shared" si="1"/>
        <v>-430</v>
      </c>
      <c r="G17" s="606">
        <v>930</v>
      </c>
      <c r="H17" s="593">
        <f t="shared" si="0"/>
        <v>500</v>
      </c>
      <c r="I17" s="593">
        <f t="shared" si="2"/>
        <v>0</v>
      </c>
      <c r="J17" s="593">
        <f t="shared" si="3"/>
        <v>0</v>
      </c>
      <c r="K17" s="604"/>
      <c r="L17" s="599">
        <v>1200</v>
      </c>
      <c r="M17" s="599">
        <f t="shared" si="4"/>
        <v>700</v>
      </c>
      <c r="N17" s="604"/>
      <c r="O17" s="604"/>
    </row>
    <row r="18" spans="1:15" s="592" customFormat="1" ht="18" customHeight="1">
      <c r="A18" s="42">
        <v>2</v>
      </c>
      <c r="B18" s="372" t="s">
        <v>113</v>
      </c>
      <c r="C18" s="608">
        <v>1</v>
      </c>
      <c r="D18" s="597">
        <v>70000</v>
      </c>
      <c r="E18" s="597">
        <v>79000</v>
      </c>
      <c r="F18" s="598">
        <f t="shared" si="1"/>
        <v>72000</v>
      </c>
      <c r="G18" s="598">
        <v>7000</v>
      </c>
      <c r="H18" s="593">
        <f t="shared" si="0"/>
        <v>79000</v>
      </c>
      <c r="I18" s="593">
        <f t="shared" si="2"/>
        <v>9000</v>
      </c>
      <c r="J18" s="593">
        <f t="shared" si="3"/>
        <v>9000</v>
      </c>
      <c r="K18" s="591"/>
      <c r="L18" s="599">
        <v>39000</v>
      </c>
      <c r="M18" s="599">
        <f t="shared" si="4"/>
        <v>-31000</v>
      </c>
      <c r="N18" s="599">
        <f>J18</f>
        <v>9000</v>
      </c>
      <c r="O18" s="591"/>
    </row>
    <row r="19" spans="1:15" s="592" customFormat="1" ht="18" customHeight="1">
      <c r="A19" s="42">
        <v>3</v>
      </c>
      <c r="B19" s="372" t="s">
        <v>277</v>
      </c>
      <c r="C19" s="601">
        <v>0.5</v>
      </c>
      <c r="D19" s="597">
        <v>80000</v>
      </c>
      <c r="E19" s="597">
        <f>D19</f>
        <v>80000</v>
      </c>
      <c r="F19" s="598">
        <f t="shared" si="1"/>
        <v>66520</v>
      </c>
      <c r="G19" s="598">
        <v>13480</v>
      </c>
      <c r="H19" s="593">
        <f t="shared" si="0"/>
        <v>80000</v>
      </c>
      <c r="I19" s="593">
        <f t="shared" si="2"/>
        <v>0</v>
      </c>
      <c r="J19" s="593">
        <f t="shared" si="3"/>
        <v>0</v>
      </c>
      <c r="K19" s="591"/>
      <c r="L19" s="599">
        <v>55500</v>
      </c>
      <c r="M19" s="599">
        <f t="shared" si="4"/>
        <v>-24500</v>
      </c>
      <c r="N19" s="599">
        <f>J19*C19</f>
        <v>0</v>
      </c>
      <c r="O19" s="591"/>
    </row>
    <row r="20" spans="1:15" s="592" customFormat="1" ht="18" customHeight="1">
      <c r="A20" s="42">
        <v>4</v>
      </c>
      <c r="B20" s="372" t="s">
        <v>433</v>
      </c>
      <c r="C20" s="608">
        <v>1</v>
      </c>
      <c r="D20" s="597">
        <v>4000</v>
      </c>
      <c r="E20" s="597">
        <v>4000</v>
      </c>
      <c r="F20" s="598">
        <f t="shared" si="1"/>
        <v>1500</v>
      </c>
      <c r="G20" s="598">
        <v>2500</v>
      </c>
      <c r="H20" s="593">
        <f t="shared" si="0"/>
        <v>4000</v>
      </c>
      <c r="I20" s="593">
        <f t="shared" si="2"/>
        <v>0</v>
      </c>
      <c r="J20" s="593">
        <f t="shared" si="3"/>
        <v>0</v>
      </c>
      <c r="K20" s="591"/>
      <c r="L20" s="599">
        <v>2500</v>
      </c>
      <c r="M20" s="599">
        <f t="shared" si="4"/>
        <v>-1500</v>
      </c>
      <c r="N20" s="609"/>
      <c r="O20" s="591"/>
    </row>
    <row r="21" spans="1:15" s="592" customFormat="1" ht="18" customHeight="1">
      <c r="A21" s="42">
        <v>5</v>
      </c>
      <c r="B21" s="372" t="s">
        <v>278</v>
      </c>
      <c r="C21" s="601">
        <v>0.5</v>
      </c>
      <c r="D21" s="597">
        <v>2000</v>
      </c>
      <c r="E21" s="597">
        <v>2000</v>
      </c>
      <c r="F21" s="598">
        <f t="shared" si="1"/>
        <v>2000</v>
      </c>
      <c r="G21" s="598"/>
      <c r="H21" s="593">
        <f t="shared" si="0"/>
        <v>2000</v>
      </c>
      <c r="I21" s="593">
        <f t="shared" si="2"/>
        <v>0</v>
      </c>
      <c r="J21" s="593">
        <f t="shared" si="3"/>
        <v>0</v>
      </c>
      <c r="K21" s="591"/>
      <c r="L21" s="599">
        <v>2000</v>
      </c>
      <c r="M21" s="599">
        <f t="shared" si="4"/>
        <v>0</v>
      </c>
      <c r="N21" s="591"/>
      <c r="O21" s="591"/>
    </row>
    <row r="22" spans="1:15" s="592" customFormat="1" ht="18" customHeight="1">
      <c r="A22" s="42">
        <v>6</v>
      </c>
      <c r="B22" s="372" t="s">
        <v>279</v>
      </c>
      <c r="C22" s="608">
        <v>0</v>
      </c>
      <c r="D22" s="597">
        <v>16000</v>
      </c>
      <c r="E22" s="597">
        <v>16000</v>
      </c>
      <c r="F22" s="598">
        <f t="shared" si="1"/>
        <v>13160</v>
      </c>
      <c r="G22" s="598">
        <v>2840</v>
      </c>
      <c r="H22" s="593">
        <f t="shared" si="0"/>
        <v>16000</v>
      </c>
      <c r="I22" s="593">
        <f t="shared" si="2"/>
        <v>0</v>
      </c>
      <c r="J22" s="593">
        <f t="shared" si="3"/>
        <v>0</v>
      </c>
      <c r="K22" s="591"/>
      <c r="L22" s="599">
        <v>16000</v>
      </c>
      <c r="M22" s="599">
        <f t="shared" si="4"/>
        <v>0</v>
      </c>
      <c r="N22" s="591"/>
      <c r="O22" s="591"/>
    </row>
    <row r="23" spans="1:15" s="605" customFormat="1" ht="19.5" customHeight="1">
      <c r="A23" s="374"/>
      <c r="B23" s="371" t="s">
        <v>224</v>
      </c>
      <c r="C23" s="601">
        <v>1</v>
      </c>
      <c r="D23" s="602">
        <v>10100</v>
      </c>
      <c r="E23" s="602">
        <v>10100</v>
      </c>
      <c r="F23" s="610">
        <f t="shared" si="1"/>
        <v>10100</v>
      </c>
      <c r="G23" s="598"/>
      <c r="H23" s="593">
        <f t="shared" si="0"/>
        <v>10100</v>
      </c>
      <c r="I23" s="593">
        <f t="shared" si="2"/>
        <v>0</v>
      </c>
      <c r="J23" s="593">
        <f t="shared" si="3"/>
        <v>0</v>
      </c>
      <c r="K23" s="604"/>
      <c r="L23" s="599">
        <v>8500</v>
      </c>
      <c r="M23" s="599">
        <f t="shared" si="4"/>
        <v>-1600</v>
      </c>
      <c r="N23" s="604"/>
      <c r="O23" s="604"/>
    </row>
    <row r="24" spans="1:15" s="592" customFormat="1" ht="21" customHeight="1">
      <c r="A24" s="611">
        <v>7</v>
      </c>
      <c r="B24" s="612" t="s">
        <v>525</v>
      </c>
      <c r="C24" s="613"/>
      <c r="D24" s="614">
        <v>24000</v>
      </c>
      <c r="E24" s="614">
        <v>24000</v>
      </c>
      <c r="F24" s="598">
        <f t="shared" si="1"/>
        <v>23175</v>
      </c>
      <c r="G24" s="598">
        <v>825</v>
      </c>
      <c r="H24" s="593">
        <f t="shared" si="0"/>
        <v>24000</v>
      </c>
      <c r="I24" s="593">
        <f t="shared" si="2"/>
        <v>0</v>
      </c>
      <c r="J24" s="593">
        <f t="shared" si="3"/>
        <v>0</v>
      </c>
      <c r="K24" s="591"/>
      <c r="L24" s="599">
        <v>31000</v>
      </c>
      <c r="M24" s="599">
        <f t="shared" si="4"/>
        <v>7000</v>
      </c>
      <c r="N24" s="591"/>
      <c r="O24" s="591"/>
    </row>
    <row r="25" spans="1:15" s="605" customFormat="1" ht="20.25" customHeight="1">
      <c r="A25" s="615"/>
      <c r="B25" s="616" t="s">
        <v>538</v>
      </c>
      <c r="C25" s="617">
        <v>1</v>
      </c>
      <c r="D25" s="618">
        <v>4000</v>
      </c>
      <c r="E25" s="618">
        <v>4000</v>
      </c>
      <c r="F25" s="610">
        <f t="shared" si="1"/>
        <v>4000</v>
      </c>
      <c r="G25" s="603"/>
      <c r="H25" s="593">
        <f t="shared" si="0"/>
        <v>4000</v>
      </c>
      <c r="I25" s="593">
        <f t="shared" si="2"/>
        <v>0</v>
      </c>
      <c r="J25" s="593">
        <f t="shared" si="3"/>
        <v>0</v>
      </c>
      <c r="K25" s="604"/>
      <c r="L25" s="599">
        <v>4000</v>
      </c>
      <c r="M25" s="599">
        <f t="shared" si="4"/>
        <v>0</v>
      </c>
      <c r="N25" s="607">
        <v>500</v>
      </c>
      <c r="O25" s="604"/>
    </row>
    <row r="26" spans="1:15" s="592" customFormat="1" ht="24.75" customHeight="1">
      <c r="A26" s="96" t="s">
        <v>236</v>
      </c>
      <c r="B26" s="586" t="s">
        <v>280</v>
      </c>
      <c r="C26" s="619">
        <v>0.6</v>
      </c>
      <c r="D26" s="620">
        <v>150000</v>
      </c>
      <c r="E26" s="620">
        <v>165000</v>
      </c>
      <c r="F26" s="621">
        <v>105000</v>
      </c>
      <c r="G26" s="622"/>
      <c r="H26" s="590">
        <f t="shared" si="0"/>
        <v>105000</v>
      </c>
      <c r="I26" s="590">
        <f t="shared" si="2"/>
        <v>15000</v>
      </c>
      <c r="J26" s="591">
        <f t="shared" si="3"/>
        <v>15000</v>
      </c>
      <c r="K26" s="591"/>
      <c r="L26" s="623">
        <v>110000</v>
      </c>
      <c r="M26" s="609">
        <f t="shared" si="4"/>
        <v>-40000</v>
      </c>
      <c r="N26" s="609">
        <f>I26*C26</f>
        <v>9000</v>
      </c>
      <c r="O26" s="591"/>
    </row>
    <row r="27" spans="1:15" s="592" customFormat="1" ht="27" customHeight="1">
      <c r="A27" s="96" t="s">
        <v>269</v>
      </c>
      <c r="B27" s="624" t="s">
        <v>519</v>
      </c>
      <c r="C27" s="608"/>
      <c r="D27" s="625">
        <f>D28+D29</f>
        <v>10183</v>
      </c>
      <c r="E27" s="626">
        <f>E28+E29</f>
        <v>12219</v>
      </c>
      <c r="F27" s="627"/>
      <c r="G27" s="622"/>
      <c r="H27" s="593"/>
      <c r="I27" s="591"/>
      <c r="J27" s="591"/>
      <c r="K27" s="591"/>
      <c r="L27" s="628"/>
      <c r="M27" s="628"/>
      <c r="N27" s="591"/>
      <c r="O27" s="591"/>
    </row>
    <row r="28" spans="1:15" s="592" customFormat="1" ht="27" customHeight="1" hidden="1">
      <c r="A28" s="96"/>
      <c r="B28" s="629" t="s">
        <v>541</v>
      </c>
      <c r="C28" s="608"/>
      <c r="D28" s="630"/>
      <c r="E28" s="630"/>
      <c r="F28" s="627"/>
      <c r="G28" s="622"/>
      <c r="H28" s="593"/>
      <c r="I28" s="591"/>
      <c r="J28" s="591"/>
      <c r="K28" s="591"/>
      <c r="L28" s="628"/>
      <c r="M28" s="628"/>
      <c r="N28" s="591"/>
      <c r="O28" s="591"/>
    </row>
    <row r="29" spans="1:15" s="592" customFormat="1" ht="42.75" customHeight="1">
      <c r="A29" s="96"/>
      <c r="B29" s="629" t="s">
        <v>699</v>
      </c>
      <c r="C29" s="608"/>
      <c r="D29" s="631">
        <v>10183</v>
      </c>
      <c r="E29" s="631">
        <f>'thu HP'!G10+'THU DV'!C10</f>
        <v>12219</v>
      </c>
      <c r="F29" s="627"/>
      <c r="G29" s="622"/>
      <c r="H29" s="593"/>
      <c r="I29" s="591"/>
      <c r="J29" s="591"/>
      <c r="K29" s="591"/>
      <c r="L29" s="628"/>
      <c r="M29" s="628"/>
      <c r="N29" s="591"/>
      <c r="O29" s="591"/>
    </row>
    <row r="30" spans="1:15" s="592" customFormat="1" ht="39.75" customHeight="1">
      <c r="A30" s="96" t="s">
        <v>270</v>
      </c>
      <c r="B30" s="41" t="s">
        <v>617</v>
      </c>
      <c r="C30" s="608"/>
      <c r="D30" s="625">
        <f>D31</f>
        <v>0</v>
      </c>
      <c r="E30" s="632">
        <f>E31</f>
        <v>3335</v>
      </c>
      <c r="F30" s="627"/>
      <c r="G30" s="622"/>
      <c r="H30" s="593"/>
      <c r="I30" s="591"/>
      <c r="J30" s="591"/>
      <c r="K30" s="591"/>
      <c r="L30" s="628"/>
      <c r="M30" s="628"/>
      <c r="N30" s="591"/>
      <c r="O30" s="591"/>
    </row>
    <row r="31" spans="1:15" s="592" customFormat="1" ht="27.75" customHeight="1">
      <c r="A31" s="96"/>
      <c r="B31" s="633" t="s">
        <v>623</v>
      </c>
      <c r="C31" s="608"/>
      <c r="D31" s="630"/>
      <c r="E31" s="634">
        <v>3335</v>
      </c>
      <c r="F31" s="627"/>
      <c r="G31" s="622"/>
      <c r="H31" s="593"/>
      <c r="I31" s="591"/>
      <c r="J31" s="591"/>
      <c r="K31" s="591"/>
      <c r="L31" s="628"/>
      <c r="M31" s="628"/>
      <c r="N31" s="591"/>
      <c r="O31" s="591"/>
    </row>
    <row r="32" spans="1:15" s="592" customFormat="1" ht="48" customHeight="1">
      <c r="A32" s="96" t="s">
        <v>272</v>
      </c>
      <c r="B32" s="586" t="s">
        <v>524</v>
      </c>
      <c r="C32" s="619"/>
      <c r="D32" s="632">
        <f>D33+D46+D48</f>
        <v>895518.8</v>
      </c>
      <c r="E32" s="632">
        <f>E33+E48+E46</f>
        <v>917782.64</v>
      </c>
      <c r="F32" s="635" t="e">
        <f>F33+F48+F46</f>
        <v>#REF!</v>
      </c>
      <c r="G32" s="635" t="e">
        <f>G33+G48+G46</f>
        <v>#REF!</v>
      </c>
      <c r="H32" s="590">
        <v>0</v>
      </c>
      <c r="I32" s="636">
        <f aca="true" t="shared" si="5" ref="I32:I42">E32-D32</f>
        <v>22263.839999999967</v>
      </c>
      <c r="J32" s="636"/>
      <c r="K32" s="637"/>
      <c r="L32" s="638">
        <v>794213</v>
      </c>
      <c r="M32" s="628"/>
      <c r="N32" s="637"/>
      <c r="O32" s="591"/>
    </row>
    <row r="33" spans="1:15" s="642" customFormat="1" ht="42" customHeight="1">
      <c r="A33" s="96" t="s">
        <v>268</v>
      </c>
      <c r="B33" s="586" t="s">
        <v>567</v>
      </c>
      <c r="C33" s="619"/>
      <c r="D33" s="632">
        <f>D34+D38+D39+D43</f>
        <v>895518.8</v>
      </c>
      <c r="E33" s="632">
        <f>E34+E38+E39+E43</f>
        <v>896447.64</v>
      </c>
      <c r="F33" s="635" t="e">
        <f>F34+F38+F39+F43</f>
        <v>#REF!</v>
      </c>
      <c r="G33" s="635" t="e">
        <f>G34+G38+G39+G43</f>
        <v>#REF!</v>
      </c>
      <c r="H33" s="590" t="e">
        <f t="shared" si="0"/>
        <v>#REF!</v>
      </c>
      <c r="I33" s="639">
        <f t="shared" si="5"/>
        <v>928.8399999999674</v>
      </c>
      <c r="J33" s="590" t="e">
        <f>G33-G11</f>
        <v>#REF!</v>
      </c>
      <c r="K33" s="640"/>
      <c r="L33" s="609"/>
      <c r="M33" s="641"/>
      <c r="N33" s="640"/>
      <c r="O33" s="640"/>
    </row>
    <row r="34" spans="1:15" s="642" customFormat="1" ht="21.75" customHeight="1">
      <c r="A34" s="96" t="s">
        <v>235</v>
      </c>
      <c r="B34" s="586" t="s">
        <v>658</v>
      </c>
      <c r="C34" s="619"/>
      <c r="D34" s="620">
        <f>D35</f>
        <v>190600</v>
      </c>
      <c r="E34" s="620">
        <f>E35</f>
        <v>190600</v>
      </c>
      <c r="F34" s="635" t="e">
        <f>F35+#REF!</f>
        <v>#REF!</v>
      </c>
      <c r="G34" s="635" t="e">
        <f>G35+#REF!</f>
        <v>#REF!</v>
      </c>
      <c r="H34" s="590" t="e">
        <f t="shared" si="0"/>
        <v>#REF!</v>
      </c>
      <c r="I34" s="639">
        <f t="shared" si="5"/>
        <v>0</v>
      </c>
      <c r="J34" s="640"/>
      <c r="K34" s="640"/>
      <c r="L34" s="641"/>
      <c r="M34" s="641"/>
      <c r="N34" s="640"/>
      <c r="O34" s="640"/>
    </row>
    <row r="35" spans="1:15" s="592" customFormat="1" ht="22.5" customHeight="1">
      <c r="A35" s="96"/>
      <c r="B35" s="367" t="s">
        <v>44</v>
      </c>
      <c r="C35" s="619"/>
      <c r="D35" s="620">
        <f>SUM(D36:D37)</f>
        <v>190600</v>
      </c>
      <c r="E35" s="632">
        <f>SUM(E36:E37)</f>
        <v>190600</v>
      </c>
      <c r="F35" s="635">
        <f>SUM(F36:F37)</f>
        <v>175320</v>
      </c>
      <c r="G35" s="635">
        <f>SUM(G36:G37)</f>
        <v>15280</v>
      </c>
      <c r="H35" s="590">
        <f t="shared" si="0"/>
        <v>190600</v>
      </c>
      <c r="I35" s="639">
        <f t="shared" si="5"/>
        <v>0</v>
      </c>
      <c r="J35" s="591"/>
      <c r="K35" s="591"/>
      <c r="L35" s="628"/>
      <c r="M35" s="643" t="e">
        <f>M36+M37</f>
        <v>#REF!</v>
      </c>
      <c r="N35" s="591"/>
      <c r="O35" s="591"/>
    </row>
    <row r="36" spans="1:15" s="605" customFormat="1" ht="19.5" customHeight="1">
      <c r="A36" s="374"/>
      <c r="B36" s="644" t="s">
        <v>539</v>
      </c>
      <c r="C36" s="601">
        <v>1</v>
      </c>
      <c r="D36" s="645">
        <f>D18+D16+D20+D23+D25</f>
        <v>96100</v>
      </c>
      <c r="E36" s="645">
        <f>D36</f>
        <v>96100</v>
      </c>
      <c r="F36" s="646">
        <f>E36-G36</f>
        <v>80820</v>
      </c>
      <c r="G36" s="646">
        <v>15280</v>
      </c>
      <c r="H36" s="593">
        <f t="shared" si="0"/>
        <v>96100</v>
      </c>
      <c r="I36" s="639">
        <f t="shared" si="5"/>
        <v>0</v>
      </c>
      <c r="J36" s="647"/>
      <c r="K36" s="604"/>
      <c r="L36" s="648" t="e">
        <f>L18+L16+L20+L23+#REF!+L25+#REF!</f>
        <v>#REF!</v>
      </c>
      <c r="M36" s="648" t="e">
        <f>M18+M16+M20+M23+#REF!+M25+#REF!</f>
        <v>#REF!</v>
      </c>
      <c r="N36" s="604"/>
      <c r="O36" s="604"/>
    </row>
    <row r="37" spans="1:15" s="605" customFormat="1" ht="18" customHeight="1">
      <c r="A37" s="374"/>
      <c r="B37" s="644" t="s">
        <v>540</v>
      </c>
      <c r="C37" s="649">
        <v>0.5</v>
      </c>
      <c r="D37" s="645">
        <f>(D14+D15+D17+D19+D21)*50%</f>
        <v>94500</v>
      </c>
      <c r="E37" s="645">
        <v>94500</v>
      </c>
      <c r="F37" s="646">
        <f>E37-G37</f>
        <v>94500</v>
      </c>
      <c r="G37" s="646"/>
      <c r="H37" s="593">
        <f t="shared" si="0"/>
        <v>94500</v>
      </c>
      <c r="I37" s="639">
        <f t="shared" si="5"/>
        <v>0</v>
      </c>
      <c r="J37" s="604"/>
      <c r="K37" s="604"/>
      <c r="L37" s="648">
        <f>(L14+L15+L17+L19+L21)*47%</f>
        <v>75999</v>
      </c>
      <c r="M37" s="648">
        <f>(M14+M15+M17+M19+M21)*47%</f>
        <v>-12831</v>
      </c>
      <c r="N37" s="604"/>
      <c r="O37" s="604"/>
    </row>
    <row r="38" spans="1:15" s="592" customFormat="1" ht="22.5" customHeight="1">
      <c r="A38" s="96" t="s">
        <v>236</v>
      </c>
      <c r="B38" s="586" t="s">
        <v>286</v>
      </c>
      <c r="C38" s="608">
        <v>0.6</v>
      </c>
      <c r="D38" s="632">
        <f>D26*60%</f>
        <v>90000</v>
      </c>
      <c r="E38" s="632">
        <f>D38</f>
        <v>90000</v>
      </c>
      <c r="F38" s="635">
        <v>46800</v>
      </c>
      <c r="G38" s="381"/>
      <c r="H38" s="590">
        <f t="shared" si="0"/>
        <v>46800</v>
      </c>
      <c r="I38" s="639">
        <f t="shared" si="5"/>
        <v>0</v>
      </c>
      <c r="J38" s="591"/>
      <c r="K38" s="591"/>
      <c r="L38" s="628"/>
      <c r="M38" s="628"/>
      <c r="N38" s="591"/>
      <c r="O38" s="591"/>
    </row>
    <row r="39" spans="1:15" s="592" customFormat="1" ht="21.75" customHeight="1">
      <c r="A39" s="96" t="s">
        <v>237</v>
      </c>
      <c r="B39" s="586" t="s">
        <v>285</v>
      </c>
      <c r="C39" s="619"/>
      <c r="D39" s="632">
        <f>D40+D41+D42</f>
        <v>608809</v>
      </c>
      <c r="E39" s="632">
        <f>E40+E41+E42</f>
        <v>608809</v>
      </c>
      <c r="F39" s="635">
        <f>F40+F41+F42</f>
        <v>533041</v>
      </c>
      <c r="G39" s="635">
        <f>G40+G41+G42</f>
        <v>75768</v>
      </c>
      <c r="H39" s="590">
        <f t="shared" si="0"/>
        <v>608809</v>
      </c>
      <c r="I39" s="639">
        <f t="shared" si="5"/>
        <v>0</v>
      </c>
      <c r="J39" s="591"/>
      <c r="K39" s="591"/>
      <c r="L39" s="628"/>
      <c r="M39" s="628"/>
      <c r="N39" s="591"/>
      <c r="O39" s="591"/>
    </row>
    <row r="40" spans="1:15" s="592" customFormat="1" ht="21" customHeight="1">
      <c r="A40" s="42">
        <v>1</v>
      </c>
      <c r="B40" s="372" t="s">
        <v>281</v>
      </c>
      <c r="C40" s="608"/>
      <c r="D40" s="634">
        <v>551738</v>
      </c>
      <c r="E40" s="634">
        <f>D40</f>
        <v>551738</v>
      </c>
      <c r="F40" s="650">
        <f>E40-G40</f>
        <v>475970</v>
      </c>
      <c r="G40" s="650">
        <v>75768</v>
      </c>
      <c r="H40" s="593">
        <f t="shared" si="0"/>
        <v>551738</v>
      </c>
      <c r="I40" s="639">
        <f t="shared" si="5"/>
        <v>0</v>
      </c>
      <c r="J40" s="591"/>
      <c r="K40" s="591"/>
      <c r="L40" s="628"/>
      <c r="M40" s="628"/>
      <c r="N40" s="591"/>
      <c r="O40" s="591"/>
    </row>
    <row r="41" spans="1:15" s="592" customFormat="1" ht="20.25" customHeight="1">
      <c r="A41" s="42">
        <v>2</v>
      </c>
      <c r="B41" s="372" t="s">
        <v>284</v>
      </c>
      <c r="C41" s="608"/>
      <c r="D41" s="634">
        <v>57071</v>
      </c>
      <c r="E41" s="634">
        <f>D41</f>
        <v>57071</v>
      </c>
      <c r="F41" s="650">
        <f>E41-G41</f>
        <v>57071</v>
      </c>
      <c r="G41" s="381"/>
      <c r="H41" s="593">
        <f t="shared" si="0"/>
        <v>57071</v>
      </c>
      <c r="I41" s="639">
        <f t="shared" si="5"/>
        <v>0</v>
      </c>
      <c r="J41" s="637"/>
      <c r="K41" s="591"/>
      <c r="L41" s="628"/>
      <c r="M41" s="628"/>
      <c r="N41" s="591"/>
      <c r="O41" s="591"/>
    </row>
    <row r="42" spans="1:15" s="592" customFormat="1" ht="20.25" customHeight="1" hidden="1">
      <c r="A42" s="42">
        <v>3</v>
      </c>
      <c r="B42" s="372" t="s">
        <v>447</v>
      </c>
      <c r="C42" s="608"/>
      <c r="D42" s="634"/>
      <c r="E42" s="634"/>
      <c r="F42" s="650">
        <f>E42-G42</f>
        <v>0</v>
      </c>
      <c r="G42" s="381"/>
      <c r="H42" s="593">
        <f t="shared" si="0"/>
        <v>0</v>
      </c>
      <c r="I42" s="639">
        <f t="shared" si="5"/>
        <v>0</v>
      </c>
      <c r="J42" s="591"/>
      <c r="K42" s="591"/>
      <c r="L42" s="628"/>
      <c r="M42" s="628"/>
      <c r="N42" s="591"/>
      <c r="O42" s="591"/>
    </row>
    <row r="43" spans="1:15" s="592" customFormat="1" ht="24" customHeight="1">
      <c r="A43" s="96" t="s">
        <v>508</v>
      </c>
      <c r="B43" s="624" t="s">
        <v>519</v>
      </c>
      <c r="C43" s="608"/>
      <c r="D43" s="625">
        <f>D44+D45</f>
        <v>6109.8</v>
      </c>
      <c r="E43" s="626">
        <f>E44+E45</f>
        <v>7038.640000000001</v>
      </c>
      <c r="F43" s="651">
        <f>F44+F45</f>
        <v>23545.64</v>
      </c>
      <c r="G43" s="652">
        <f>G44</f>
        <v>0</v>
      </c>
      <c r="H43" s="593"/>
      <c r="I43" s="639"/>
      <c r="J43" s="591"/>
      <c r="K43" s="591"/>
      <c r="L43" s="628"/>
      <c r="M43" s="628"/>
      <c r="N43" s="591"/>
      <c r="O43" s="591"/>
    </row>
    <row r="44" spans="1:13" s="661" customFormat="1" ht="31.5" customHeight="1" hidden="1">
      <c r="A44" s="653"/>
      <c r="B44" s="654" t="s">
        <v>541</v>
      </c>
      <c r="C44" s="655"/>
      <c r="D44" s="656"/>
      <c r="E44" s="656"/>
      <c r="F44" s="657">
        <v>16507</v>
      </c>
      <c r="G44" s="658"/>
      <c r="H44" s="659"/>
      <c r="I44" s="660"/>
      <c r="L44" s="662"/>
      <c r="M44" s="662"/>
    </row>
    <row r="45" spans="1:15" s="592" customFormat="1" ht="38.25" customHeight="1">
      <c r="A45" s="96"/>
      <c r="B45" s="629" t="s">
        <v>699</v>
      </c>
      <c r="C45" s="608"/>
      <c r="D45" s="631">
        <f>D29*60%</f>
        <v>6109.8</v>
      </c>
      <c r="E45" s="631">
        <f>'thu HP'!H10+'THU DV'!F10</f>
        <v>7038.640000000001</v>
      </c>
      <c r="F45" s="663">
        <f>E45</f>
        <v>7038.640000000001</v>
      </c>
      <c r="G45" s="381"/>
      <c r="H45" s="593"/>
      <c r="I45" s="639"/>
      <c r="J45" s="591"/>
      <c r="K45" s="591"/>
      <c r="L45" s="628"/>
      <c r="M45" s="628"/>
      <c r="N45" s="591"/>
      <c r="O45" s="591"/>
    </row>
    <row r="46" spans="1:15" s="592" customFormat="1" ht="40.5" customHeight="1">
      <c r="A46" s="96" t="s">
        <v>269</v>
      </c>
      <c r="B46" s="41" t="s">
        <v>617</v>
      </c>
      <c r="C46" s="608"/>
      <c r="D46" s="625">
        <f>D47</f>
        <v>0</v>
      </c>
      <c r="E46" s="632">
        <f>E47</f>
        <v>3335</v>
      </c>
      <c r="F46" s="651" t="e">
        <f>F47+#REF!</f>
        <v>#REF!</v>
      </c>
      <c r="G46" s="651" t="e">
        <f>G47+#REF!</f>
        <v>#REF!</v>
      </c>
      <c r="H46" s="593"/>
      <c r="I46" s="639"/>
      <c r="J46" s="591"/>
      <c r="K46" s="591"/>
      <c r="L46" s="628"/>
      <c r="M46" s="628"/>
      <c r="N46" s="637">
        <f>E46+E48</f>
        <v>21335</v>
      </c>
      <c r="O46" s="591"/>
    </row>
    <row r="47" spans="1:15" s="592" customFormat="1" ht="36" customHeight="1">
      <c r="A47" s="96"/>
      <c r="B47" s="633" t="s">
        <v>623</v>
      </c>
      <c r="C47" s="608"/>
      <c r="D47" s="630"/>
      <c r="E47" s="634">
        <f>E31</f>
        <v>3335</v>
      </c>
      <c r="F47" s="664"/>
      <c r="G47" s="650">
        <v>9045</v>
      </c>
      <c r="H47" s="593"/>
      <c r="I47" s="639"/>
      <c r="J47" s="591"/>
      <c r="K47" s="591"/>
      <c r="L47" s="628"/>
      <c r="M47" s="628"/>
      <c r="N47" s="591"/>
      <c r="O47" s="591"/>
    </row>
    <row r="48" spans="1:13" ht="45.75" customHeight="1">
      <c r="A48" s="96" t="s">
        <v>270</v>
      </c>
      <c r="B48" s="586" t="s">
        <v>522</v>
      </c>
      <c r="C48" s="209"/>
      <c r="D48" s="209"/>
      <c r="E48" s="632">
        <f>E49+E50</f>
        <v>18000</v>
      </c>
      <c r="F48" s="635">
        <f>F49+F50</f>
        <v>18846</v>
      </c>
      <c r="G48" s="635">
        <f>G49+G50</f>
        <v>0</v>
      </c>
      <c r="I48" s="665"/>
      <c r="L48" s="666"/>
      <c r="M48" s="666"/>
    </row>
    <row r="49" spans="1:13" ht="21.75" customHeight="1">
      <c r="A49" s="223">
        <v>1</v>
      </c>
      <c r="B49" s="53" t="s">
        <v>43</v>
      </c>
      <c r="C49" s="608">
        <v>0.6</v>
      </c>
      <c r="D49" s="209"/>
      <c r="E49" s="667">
        <v>9000</v>
      </c>
      <c r="F49" s="668">
        <f>27000*60%</f>
        <v>16200</v>
      </c>
      <c r="G49" s="669"/>
      <c r="L49" s="666"/>
      <c r="M49" s="666"/>
    </row>
    <row r="50" spans="1:13" ht="22.5" customHeight="1">
      <c r="A50" s="223">
        <v>2</v>
      </c>
      <c r="B50" s="372" t="s">
        <v>44</v>
      </c>
      <c r="C50" s="649">
        <v>0.5</v>
      </c>
      <c r="D50" s="209"/>
      <c r="E50" s="667">
        <f>E51</f>
        <v>9000</v>
      </c>
      <c r="F50" s="382">
        <f>F51</f>
        <v>2646</v>
      </c>
      <c r="G50" s="670"/>
      <c r="L50" s="666"/>
      <c r="M50" s="666"/>
    </row>
    <row r="51" spans="1:13" ht="23.25" customHeight="1" hidden="1">
      <c r="A51" s="223"/>
      <c r="B51" s="644" t="s">
        <v>540</v>
      </c>
      <c r="C51" s="209"/>
      <c r="D51" s="209"/>
      <c r="E51" s="688">
        <v>9000</v>
      </c>
      <c r="F51" s="381">
        <v>2646</v>
      </c>
      <c r="G51" s="670"/>
      <c r="L51" s="666"/>
      <c r="M51" s="666"/>
    </row>
  </sheetData>
  <sheetProtection/>
  <mergeCells count="8">
    <mergeCell ref="F8:G8"/>
    <mergeCell ref="A6:E6"/>
    <mergeCell ref="A4:E4"/>
    <mergeCell ref="A8:A9"/>
    <mergeCell ref="B8:B9"/>
    <mergeCell ref="C8:C9"/>
    <mergeCell ref="D8:E8"/>
    <mergeCell ref="A5:E5"/>
  </mergeCells>
  <printOptions/>
  <pageMargins left="0.32" right="0.2" top="0.56" bottom="0.58" header="0.48" footer="0.34"/>
  <pageSetup horizontalDpi="600" verticalDpi="600" orientation="portrait" paperSize="9" r:id="rId4"/>
  <headerFooter alignWithMargins="0">
    <oddFooter>&amp;CPage &amp;P</oddFooter>
  </headerFooter>
  <drawing r:id="rId3"/>
  <legacyDrawing r:id="rId2"/>
</worksheet>
</file>

<file path=xl/worksheets/sheet10.xml><?xml version="1.0" encoding="utf-8"?>
<worksheet xmlns="http://schemas.openxmlformats.org/spreadsheetml/2006/main" xmlns:r="http://schemas.openxmlformats.org/officeDocument/2006/relationships">
  <sheetPr>
    <tabColor rgb="FF0070C0"/>
  </sheetPr>
  <dimension ref="A1:AK32"/>
  <sheetViews>
    <sheetView zoomScale="110" zoomScaleNormal="110" zoomScalePageLayoutView="0" workbookViewId="0" topLeftCell="A1">
      <selection activeCell="A6" sqref="A6:AJ6"/>
    </sheetView>
  </sheetViews>
  <sheetFormatPr defaultColWidth="10.00390625" defaultRowHeight="12.75"/>
  <cols>
    <col min="1" max="1" width="6.57421875" style="442" customWidth="1"/>
    <col min="2" max="2" width="24.28125" style="442" customWidth="1"/>
    <col min="3" max="3" width="10.28125" style="441" customWidth="1"/>
    <col min="4" max="4" width="10.28125" style="442" customWidth="1"/>
    <col min="5" max="5" width="10.421875" style="442" customWidth="1"/>
    <col min="6" max="6" width="10.140625" style="442" hidden="1" customWidth="1"/>
    <col min="7" max="7" width="8.8515625" style="442" hidden="1" customWidth="1"/>
    <col min="8" max="8" width="7.7109375" style="442" hidden="1" customWidth="1"/>
    <col min="9" max="9" width="7.7109375" style="443" hidden="1" customWidth="1"/>
    <col min="10" max="10" width="6.7109375" style="442" hidden="1" customWidth="1"/>
    <col min="11" max="11" width="9.421875" style="442" hidden="1" customWidth="1"/>
    <col min="12" max="12" width="10.7109375" style="442" hidden="1" customWidth="1"/>
    <col min="13" max="13" width="10.140625" style="442" hidden="1" customWidth="1"/>
    <col min="14" max="14" width="8.00390625" style="442" hidden="1" customWidth="1"/>
    <col min="15" max="15" width="7.7109375" style="442" hidden="1" customWidth="1"/>
    <col min="16" max="16" width="8.8515625" style="442" hidden="1" customWidth="1"/>
    <col min="17" max="17" width="9.140625" style="442" hidden="1" customWidth="1"/>
    <col min="18" max="18" width="10.57421875" style="442" hidden="1" customWidth="1"/>
    <col min="19" max="21" width="6.8515625" style="442" hidden="1" customWidth="1"/>
    <col min="22" max="24" width="9.140625" style="442" hidden="1" customWidth="1"/>
    <col min="25" max="25" width="8.8515625" style="477" hidden="1" customWidth="1"/>
    <col min="26" max="27" width="8.421875" style="477" hidden="1" customWidth="1"/>
    <col min="28" max="28" width="10.421875" style="477" customWidth="1"/>
    <col min="29" max="29" width="12.8515625" style="441" customWidth="1"/>
    <col min="30" max="30" width="10.28125" style="442" customWidth="1"/>
    <col min="31" max="31" width="8.8515625" style="442" customWidth="1"/>
    <col min="32" max="32" width="9.57421875" style="442" customWidth="1"/>
    <col min="33" max="33" width="13.00390625" style="442" customWidth="1"/>
    <col min="34" max="34" width="10.00390625" style="441" customWidth="1"/>
    <col min="35" max="35" width="10.00390625" style="442" customWidth="1"/>
    <col min="36" max="36" width="12.140625" style="442" customWidth="1"/>
    <col min="37" max="16384" width="10.00390625" style="445" customWidth="1"/>
  </cols>
  <sheetData>
    <row r="1" spans="1:28" ht="16.5">
      <c r="A1" s="24" t="s">
        <v>852</v>
      </c>
      <c r="B1" s="1"/>
      <c r="K1" s="444"/>
      <c r="L1" s="444" t="s">
        <v>380</v>
      </c>
      <c r="M1" s="444"/>
      <c r="N1" s="444"/>
      <c r="O1" s="444"/>
      <c r="Y1" s="94"/>
      <c r="Z1" s="94"/>
      <c r="AA1" s="94"/>
      <c r="AB1" s="94"/>
    </row>
    <row r="2" spans="1:28" ht="18.75">
      <c r="A2" s="24" t="s">
        <v>851</v>
      </c>
      <c r="B2" s="1"/>
      <c r="K2" s="446"/>
      <c r="L2" s="446" t="s">
        <v>153</v>
      </c>
      <c r="M2" s="446"/>
      <c r="N2" s="446"/>
      <c r="O2" s="446"/>
      <c r="Y2" s="447"/>
      <c r="Z2" s="447"/>
      <c r="AA2" s="447"/>
      <c r="AB2" s="447"/>
    </row>
    <row r="3" spans="1:28" ht="15" customHeight="1">
      <c r="A3" s="1"/>
      <c r="B3" s="1"/>
      <c r="I3" s="95"/>
      <c r="K3" s="446"/>
      <c r="L3" s="446"/>
      <c r="M3" s="446"/>
      <c r="N3" s="446"/>
      <c r="O3" s="446"/>
      <c r="Y3" s="447"/>
      <c r="Z3" s="447"/>
      <c r="AA3" s="447"/>
      <c r="AB3" s="447"/>
    </row>
    <row r="4" spans="1:36" ht="21" customHeight="1">
      <c r="A4" s="1006" t="s">
        <v>106</v>
      </c>
      <c r="B4" s="1006"/>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c r="AC4" s="1006"/>
      <c r="AD4" s="1006"/>
      <c r="AE4" s="1006"/>
      <c r="AF4" s="1006"/>
      <c r="AG4" s="1006"/>
      <c r="AH4" s="1006"/>
      <c r="AI4" s="1006"/>
      <c r="AJ4" s="1006"/>
    </row>
    <row r="5" spans="1:36" ht="18.75" customHeight="1">
      <c r="A5" s="1000" t="s">
        <v>846</v>
      </c>
      <c r="B5" s="1000"/>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c r="AG5" s="1000"/>
      <c r="AH5" s="1000"/>
      <c r="AI5" s="1000"/>
      <c r="AJ5" s="1000"/>
    </row>
    <row r="6" spans="1:36" ht="18.75" customHeight="1">
      <c r="A6" s="986" t="s">
        <v>853</v>
      </c>
      <c r="B6" s="986"/>
      <c r="C6" s="986"/>
      <c r="D6" s="986"/>
      <c r="E6" s="986"/>
      <c r="F6" s="986"/>
      <c r="G6" s="986"/>
      <c r="H6" s="986"/>
      <c r="I6" s="986"/>
      <c r="J6" s="986"/>
      <c r="K6" s="986"/>
      <c r="L6" s="986"/>
      <c r="M6" s="986"/>
      <c r="N6" s="986"/>
      <c r="O6" s="986"/>
      <c r="P6" s="986"/>
      <c r="Q6" s="986"/>
      <c r="R6" s="986"/>
      <c r="S6" s="986"/>
      <c r="T6" s="986"/>
      <c r="U6" s="986"/>
      <c r="V6" s="986"/>
      <c r="W6" s="986"/>
      <c r="X6" s="986"/>
      <c r="Y6" s="986"/>
      <c r="Z6" s="986"/>
      <c r="AA6" s="986"/>
      <c r="AB6" s="986"/>
      <c r="AC6" s="986"/>
      <c r="AD6" s="986"/>
      <c r="AE6" s="986"/>
      <c r="AF6" s="986"/>
      <c r="AG6" s="986"/>
      <c r="AH6" s="986"/>
      <c r="AI6" s="986"/>
      <c r="AJ6" s="986"/>
    </row>
    <row r="7" spans="2:36" ht="18.75">
      <c r="B7" s="448"/>
      <c r="G7" s="448"/>
      <c r="J7" s="449"/>
      <c r="K7" s="449"/>
      <c r="L7" s="1001"/>
      <c r="M7" s="1001"/>
      <c r="N7" s="1001" t="s">
        <v>154</v>
      </c>
      <c r="O7" s="1001"/>
      <c r="P7" s="450"/>
      <c r="V7" s="1001"/>
      <c r="W7" s="1001"/>
      <c r="X7" s="1001"/>
      <c r="Y7" s="1001"/>
      <c r="Z7" s="451"/>
      <c r="AA7" s="451"/>
      <c r="AB7" s="451"/>
      <c r="AE7" s="452"/>
      <c r="AF7" s="452"/>
      <c r="AG7" s="452"/>
      <c r="AH7" s="452"/>
      <c r="AI7" s="985" t="s">
        <v>707</v>
      </c>
      <c r="AJ7" s="985"/>
    </row>
    <row r="8" spans="1:36" ht="23.25" customHeight="1">
      <c r="A8" s="989" t="s">
        <v>266</v>
      </c>
      <c r="B8" s="992" t="s">
        <v>155</v>
      </c>
      <c r="C8" s="993" t="s">
        <v>738</v>
      </c>
      <c r="D8" s="994"/>
      <c r="E8" s="995"/>
      <c r="F8" s="1002" t="s">
        <v>156</v>
      </c>
      <c r="G8" s="1003"/>
      <c r="H8" s="1003"/>
      <c r="I8" s="1003"/>
      <c r="J8" s="1004"/>
      <c r="K8" s="1002" t="s">
        <v>157</v>
      </c>
      <c r="L8" s="1003"/>
      <c r="M8" s="1004"/>
      <c r="N8" s="989" t="s">
        <v>158</v>
      </c>
      <c r="O8" s="992" t="s">
        <v>159</v>
      </c>
      <c r="P8" s="993" t="s">
        <v>160</v>
      </c>
      <c r="Q8" s="994"/>
      <c r="R8" s="995"/>
      <c r="S8" s="993" t="s">
        <v>161</v>
      </c>
      <c r="T8" s="994"/>
      <c r="U8" s="995"/>
      <c r="V8" s="1011" t="s">
        <v>162</v>
      </c>
      <c r="W8" s="1012"/>
      <c r="X8" s="1013"/>
      <c r="Y8" s="1005" t="s">
        <v>163</v>
      </c>
      <c r="Z8" s="1005"/>
      <c r="AA8" s="1005"/>
      <c r="AB8" s="1029" t="s">
        <v>169</v>
      </c>
      <c r="AC8" s="1029"/>
      <c r="AD8" s="1029"/>
      <c r="AE8" s="1029"/>
      <c r="AF8" s="1029"/>
      <c r="AG8" s="1029"/>
      <c r="AH8" s="1029"/>
      <c r="AI8" s="1029"/>
      <c r="AJ8" s="1029"/>
    </row>
    <row r="9" spans="1:36" ht="21" customHeight="1">
      <c r="A9" s="990"/>
      <c r="B9" s="987"/>
      <c r="C9" s="992" t="s">
        <v>297</v>
      </c>
      <c r="D9" s="1017" t="s">
        <v>200</v>
      </c>
      <c r="E9" s="992" t="s">
        <v>201</v>
      </c>
      <c r="F9" s="992" t="s">
        <v>164</v>
      </c>
      <c r="G9" s="1018"/>
      <c r="H9" s="1018"/>
      <c r="I9" s="1018"/>
      <c r="J9" s="1019"/>
      <c r="K9" s="992" t="s">
        <v>165</v>
      </c>
      <c r="L9" s="1009" t="s">
        <v>173</v>
      </c>
      <c r="M9" s="1010"/>
      <c r="N9" s="990"/>
      <c r="O9" s="987"/>
      <c r="P9" s="987" t="s">
        <v>165</v>
      </c>
      <c r="Q9" s="1024" t="s">
        <v>350</v>
      </c>
      <c r="R9" s="1025"/>
      <c r="S9" s="992" t="s">
        <v>165</v>
      </c>
      <c r="T9" s="996" t="s">
        <v>350</v>
      </c>
      <c r="U9" s="997"/>
      <c r="V9" s="1014"/>
      <c r="W9" s="1015"/>
      <c r="X9" s="1016"/>
      <c r="Y9" s="1005"/>
      <c r="Z9" s="1005"/>
      <c r="AA9" s="1005"/>
      <c r="AB9" s="989" t="s">
        <v>170</v>
      </c>
      <c r="AC9" s="1021" t="s">
        <v>736</v>
      </c>
      <c r="AD9" s="1022"/>
      <c r="AE9" s="1022"/>
      <c r="AF9" s="1022"/>
      <c r="AG9" s="1023"/>
      <c r="AH9" s="989" t="s">
        <v>393</v>
      </c>
      <c r="AI9" s="1029" t="s">
        <v>737</v>
      </c>
      <c r="AJ9" s="1029"/>
    </row>
    <row r="10" spans="1:36" ht="36.75" customHeight="1">
      <c r="A10" s="990"/>
      <c r="B10" s="987"/>
      <c r="C10" s="987"/>
      <c r="D10" s="1017"/>
      <c r="E10" s="987"/>
      <c r="F10" s="987"/>
      <c r="G10" s="992" t="s">
        <v>174</v>
      </c>
      <c r="H10" s="992" t="s">
        <v>175</v>
      </c>
      <c r="I10" s="1026" t="s">
        <v>176</v>
      </c>
      <c r="J10" s="992" t="s">
        <v>177</v>
      </c>
      <c r="K10" s="987"/>
      <c r="L10" s="989" t="s">
        <v>110</v>
      </c>
      <c r="M10" s="989" t="s">
        <v>178</v>
      </c>
      <c r="N10" s="990"/>
      <c r="O10" s="987"/>
      <c r="P10" s="987"/>
      <c r="Q10" s="998"/>
      <c r="R10" s="999"/>
      <c r="S10" s="987"/>
      <c r="T10" s="998"/>
      <c r="U10" s="999"/>
      <c r="V10" s="987" t="s">
        <v>179</v>
      </c>
      <c r="W10" s="987" t="s">
        <v>117</v>
      </c>
      <c r="X10" s="987" t="s">
        <v>118</v>
      </c>
      <c r="Y10" s="1005" t="s">
        <v>179</v>
      </c>
      <c r="Z10" s="1005" t="s">
        <v>180</v>
      </c>
      <c r="AA10" s="1020" t="s">
        <v>120</v>
      </c>
      <c r="AB10" s="1007"/>
      <c r="AC10" s="1021" t="s">
        <v>202</v>
      </c>
      <c r="AD10" s="1022"/>
      <c r="AE10" s="1023"/>
      <c r="AF10" s="989" t="s">
        <v>171</v>
      </c>
      <c r="AG10" s="989" t="s">
        <v>495</v>
      </c>
      <c r="AH10" s="1007"/>
      <c r="AI10" s="989" t="s">
        <v>172</v>
      </c>
      <c r="AJ10" s="989" t="s">
        <v>584</v>
      </c>
    </row>
    <row r="11" spans="1:36" ht="15.75" customHeight="1">
      <c r="A11" s="990"/>
      <c r="B11" s="987"/>
      <c r="C11" s="987"/>
      <c r="D11" s="1017"/>
      <c r="E11" s="987"/>
      <c r="F11" s="987"/>
      <c r="G11" s="987"/>
      <c r="H11" s="987"/>
      <c r="I11" s="1027"/>
      <c r="J11" s="987"/>
      <c r="K11" s="987"/>
      <c r="L11" s="990"/>
      <c r="M11" s="990"/>
      <c r="N11" s="990"/>
      <c r="O11" s="987"/>
      <c r="P11" s="987"/>
      <c r="Q11" s="989" t="s">
        <v>181</v>
      </c>
      <c r="R11" s="989" t="s">
        <v>182</v>
      </c>
      <c r="S11" s="987"/>
      <c r="T11" s="989" t="s">
        <v>183</v>
      </c>
      <c r="U11" s="989" t="s">
        <v>184</v>
      </c>
      <c r="V11" s="987"/>
      <c r="W11" s="987"/>
      <c r="X11" s="987"/>
      <c r="Y11" s="1005"/>
      <c r="Z11" s="1005"/>
      <c r="AA11" s="1020"/>
      <c r="AB11" s="1007"/>
      <c r="AC11" s="989" t="s">
        <v>185</v>
      </c>
      <c r="AD11" s="989" t="s">
        <v>203</v>
      </c>
      <c r="AE11" s="989" t="s">
        <v>740</v>
      </c>
      <c r="AF11" s="990"/>
      <c r="AG11" s="1007"/>
      <c r="AH11" s="1007"/>
      <c r="AI11" s="990"/>
      <c r="AJ11" s="990"/>
    </row>
    <row r="12" spans="1:36" ht="76.5" customHeight="1">
      <c r="A12" s="991"/>
      <c r="B12" s="988"/>
      <c r="C12" s="988"/>
      <c r="D12" s="1014"/>
      <c r="E12" s="988"/>
      <c r="F12" s="988"/>
      <c r="G12" s="988"/>
      <c r="H12" s="988"/>
      <c r="I12" s="1028"/>
      <c r="J12" s="988"/>
      <c r="K12" s="988"/>
      <c r="L12" s="991"/>
      <c r="M12" s="991"/>
      <c r="N12" s="991"/>
      <c r="O12" s="988"/>
      <c r="P12" s="988"/>
      <c r="Q12" s="991"/>
      <c r="R12" s="991"/>
      <c r="S12" s="988"/>
      <c r="T12" s="991"/>
      <c r="U12" s="991"/>
      <c r="V12" s="988"/>
      <c r="W12" s="988"/>
      <c r="X12" s="988"/>
      <c r="Y12" s="1005"/>
      <c r="Z12" s="1005"/>
      <c r="AA12" s="1020"/>
      <c r="AB12" s="1008"/>
      <c r="AC12" s="991"/>
      <c r="AD12" s="991"/>
      <c r="AE12" s="991"/>
      <c r="AF12" s="991"/>
      <c r="AG12" s="1008"/>
      <c r="AH12" s="1008"/>
      <c r="AI12" s="991"/>
      <c r="AJ12" s="991"/>
    </row>
    <row r="13" spans="1:36" ht="18.75">
      <c r="A13" s="454"/>
      <c r="B13" s="455" t="s">
        <v>389</v>
      </c>
      <c r="C13" s="456">
        <f>+SUM(C14:C28)</f>
        <v>55280</v>
      </c>
      <c r="D13" s="456">
        <f>+SUM(D14:D28)</f>
        <v>51945</v>
      </c>
      <c r="E13" s="456">
        <f aca="true" t="shared" si="0" ref="E13:AF13">+SUM(E14:E28)</f>
        <v>3335</v>
      </c>
      <c r="F13" s="456">
        <f t="shared" si="0"/>
        <v>0</v>
      </c>
      <c r="G13" s="456">
        <f t="shared" si="0"/>
        <v>0</v>
      </c>
      <c r="H13" s="456">
        <f t="shared" si="0"/>
        <v>0</v>
      </c>
      <c r="I13" s="457">
        <f t="shared" si="0"/>
        <v>0</v>
      </c>
      <c r="J13" s="456">
        <f t="shared" si="0"/>
        <v>0</v>
      </c>
      <c r="K13" s="456">
        <f t="shared" si="0"/>
        <v>0</v>
      </c>
      <c r="L13" s="456">
        <f t="shared" si="0"/>
        <v>0</v>
      </c>
      <c r="M13" s="456">
        <f t="shared" si="0"/>
        <v>0</v>
      </c>
      <c r="N13" s="456">
        <f t="shared" si="0"/>
        <v>0</v>
      </c>
      <c r="O13" s="456">
        <f t="shared" si="0"/>
        <v>0</v>
      </c>
      <c r="P13" s="456">
        <f t="shared" si="0"/>
        <v>0</v>
      </c>
      <c r="Q13" s="456">
        <f t="shared" si="0"/>
        <v>0</v>
      </c>
      <c r="R13" s="456">
        <f t="shared" si="0"/>
        <v>0</v>
      </c>
      <c r="S13" s="456">
        <f t="shared" si="0"/>
        <v>0</v>
      </c>
      <c r="T13" s="456">
        <f t="shared" si="0"/>
        <v>0</v>
      </c>
      <c r="U13" s="456">
        <f t="shared" si="0"/>
        <v>0</v>
      </c>
      <c r="V13" s="456">
        <f t="shared" si="0"/>
        <v>0</v>
      </c>
      <c r="W13" s="456">
        <f t="shared" si="0"/>
        <v>0</v>
      </c>
      <c r="X13" s="456">
        <f t="shared" si="0"/>
        <v>0</v>
      </c>
      <c r="Y13" s="456">
        <f t="shared" si="0"/>
        <v>0</v>
      </c>
      <c r="Z13" s="456">
        <f t="shared" si="0"/>
        <v>0</v>
      </c>
      <c r="AA13" s="456">
        <f t="shared" si="0"/>
        <v>0</v>
      </c>
      <c r="AB13" s="456">
        <f>+SUM(AB14:AB28)</f>
        <v>113687</v>
      </c>
      <c r="AC13" s="456">
        <f t="shared" si="0"/>
        <v>23685</v>
      </c>
      <c r="AD13" s="456">
        <f t="shared" si="0"/>
        <v>7110</v>
      </c>
      <c r="AE13" s="456">
        <f t="shared" si="0"/>
        <v>16575</v>
      </c>
      <c r="AF13" s="456">
        <f t="shared" si="0"/>
        <v>3335</v>
      </c>
      <c r="AG13" s="456">
        <f>SUM(AG14:AG28)</f>
        <v>86667</v>
      </c>
      <c r="AH13" s="456">
        <f>+SUM(AH14:AH28)</f>
        <v>113687</v>
      </c>
      <c r="AI13" s="456">
        <f>+SUM(AI14:AI28)</f>
        <v>110352</v>
      </c>
      <c r="AJ13" s="456">
        <f>+SUM(AJ14:AJ28)</f>
        <v>3335</v>
      </c>
    </row>
    <row r="14" spans="1:37" ht="21" customHeight="1">
      <c r="A14" s="458">
        <v>1</v>
      </c>
      <c r="B14" s="11" t="s">
        <v>186</v>
      </c>
      <c r="C14" s="456">
        <f>+D14+E14</f>
        <v>8680</v>
      </c>
      <c r="D14" s="9">
        <f>+PL06!E12</f>
        <v>8680</v>
      </c>
      <c r="E14" s="9">
        <v>0</v>
      </c>
      <c r="F14" s="9">
        <f aca="true" t="shared" si="1" ref="F14:F28">SUM(G14:J14)</f>
        <v>0</v>
      </c>
      <c r="G14" s="459"/>
      <c r="H14" s="459"/>
      <c r="I14" s="459"/>
      <c r="J14" s="460"/>
      <c r="K14" s="460">
        <f>+L14+M14</f>
        <v>0</v>
      </c>
      <c r="L14" s="461"/>
      <c r="M14" s="458"/>
      <c r="N14" s="462"/>
      <c r="O14" s="460"/>
      <c r="P14" s="9">
        <f aca="true" t="shared" si="2" ref="P14:P28">+Q14+R14</f>
        <v>0</v>
      </c>
      <c r="Q14" s="461"/>
      <c r="R14" s="461"/>
      <c r="S14" s="460">
        <f>T14+U14</f>
        <v>0</v>
      </c>
      <c r="T14" s="460"/>
      <c r="U14" s="460"/>
      <c r="V14" s="460">
        <f>SUM(W14:X14)</f>
        <v>0</v>
      </c>
      <c r="W14" s="460"/>
      <c r="X14" s="460"/>
      <c r="Y14" s="463">
        <f>+Z14+AA14</f>
        <v>0</v>
      </c>
      <c r="Z14" s="462"/>
      <c r="AA14" s="462"/>
      <c r="AB14" s="464">
        <f>SUM(AD14:AG14)</f>
        <v>8023</v>
      </c>
      <c r="AC14" s="465">
        <f>PL06!E38</f>
        <v>3757</v>
      </c>
      <c r="AD14" s="465">
        <v>1130</v>
      </c>
      <c r="AE14" s="465">
        <f>AC14-AD14</f>
        <v>2627</v>
      </c>
      <c r="AF14" s="465">
        <v>0</v>
      </c>
      <c r="AG14" s="465">
        <f>+PL06!E39</f>
        <v>4266</v>
      </c>
      <c r="AH14" s="466">
        <f aca="true" t="shared" si="3" ref="AH14:AH28">SUM(AI14:AJ14)</f>
        <v>8023</v>
      </c>
      <c r="AI14" s="467">
        <f>+AG14+AC14</f>
        <v>8023</v>
      </c>
      <c r="AJ14" s="465"/>
      <c r="AK14" s="468"/>
    </row>
    <row r="15" spans="1:36" ht="21" customHeight="1">
      <c r="A15" s="458">
        <v>2</v>
      </c>
      <c r="B15" s="11" t="s">
        <v>187</v>
      </c>
      <c r="C15" s="456">
        <f aca="true" t="shared" si="4" ref="C15:C28">+D15+E15</f>
        <v>5215</v>
      </c>
      <c r="D15" s="9">
        <f>+PL06!F12</f>
        <v>5215</v>
      </c>
      <c r="E15" s="9"/>
      <c r="F15" s="9">
        <f t="shared" si="1"/>
        <v>0</v>
      </c>
      <c r="G15" s="459"/>
      <c r="H15" s="459"/>
      <c r="I15" s="459"/>
      <c r="J15" s="9"/>
      <c r="K15" s="460">
        <f aca="true" t="shared" si="5" ref="K15:K28">+L15+M15</f>
        <v>0</v>
      </c>
      <c r="L15" s="461"/>
      <c r="M15" s="458"/>
      <c r="N15" s="465"/>
      <c r="O15" s="9"/>
      <c r="P15" s="9">
        <f t="shared" si="2"/>
        <v>0</v>
      </c>
      <c r="Q15" s="461"/>
      <c r="R15" s="461"/>
      <c r="S15" s="9">
        <f aca="true" t="shared" si="6" ref="S15:S28">T15+U15</f>
        <v>0</v>
      </c>
      <c r="T15" s="9"/>
      <c r="U15" s="9"/>
      <c r="V15" s="9">
        <f>SUM(W15:X15)</f>
        <v>0</v>
      </c>
      <c r="W15" s="9"/>
      <c r="X15" s="9"/>
      <c r="Y15" s="463">
        <f aca="true" t="shared" si="7" ref="Y15:Y28">+Z15+AA15</f>
        <v>0</v>
      </c>
      <c r="Z15" s="462"/>
      <c r="AA15" s="462"/>
      <c r="AB15" s="464">
        <f aca="true" t="shared" si="8" ref="AB15:AB27">SUM(AD15:AG15)</f>
        <v>7065</v>
      </c>
      <c r="AC15" s="465">
        <f>PL06!F38</f>
        <v>2190</v>
      </c>
      <c r="AD15" s="465">
        <v>660</v>
      </c>
      <c r="AE15" s="465">
        <f aca="true" t="shared" si="9" ref="AE15:AE28">AC15-AD15</f>
        <v>1530</v>
      </c>
      <c r="AF15" s="465"/>
      <c r="AG15" s="465">
        <f>+PL06!F39</f>
        <v>4875</v>
      </c>
      <c r="AH15" s="466">
        <f t="shared" si="3"/>
        <v>7065</v>
      </c>
      <c r="AI15" s="467">
        <f aca="true" t="shared" si="10" ref="AI15:AI24">AB15</f>
        <v>7065</v>
      </c>
      <c r="AJ15" s="465"/>
    </row>
    <row r="16" spans="1:36" ht="21" customHeight="1">
      <c r="A16" s="458">
        <v>3</v>
      </c>
      <c r="B16" s="11" t="s">
        <v>188</v>
      </c>
      <c r="C16" s="456">
        <f t="shared" si="4"/>
        <v>6185</v>
      </c>
      <c r="D16" s="9">
        <f>+PL06!G12</f>
        <v>6185</v>
      </c>
      <c r="E16" s="9"/>
      <c r="F16" s="9">
        <f t="shared" si="1"/>
        <v>0</v>
      </c>
      <c r="G16" s="459"/>
      <c r="H16" s="459"/>
      <c r="I16" s="459"/>
      <c r="J16" s="9"/>
      <c r="K16" s="460">
        <f t="shared" si="5"/>
        <v>0</v>
      </c>
      <c r="L16" s="461"/>
      <c r="M16" s="458"/>
      <c r="N16" s="465"/>
      <c r="O16" s="9"/>
      <c r="P16" s="9">
        <f t="shared" si="2"/>
        <v>0</v>
      </c>
      <c r="Q16" s="461"/>
      <c r="R16" s="461"/>
      <c r="S16" s="9">
        <f t="shared" si="6"/>
        <v>0</v>
      </c>
      <c r="T16" s="9"/>
      <c r="U16" s="9"/>
      <c r="V16" s="9">
        <f aca="true" t="shared" si="11" ref="V16:V28">SUM(W16:X16)</f>
        <v>0</v>
      </c>
      <c r="W16" s="9"/>
      <c r="X16" s="9"/>
      <c r="Y16" s="463">
        <f t="shared" si="7"/>
        <v>0</v>
      </c>
      <c r="Z16" s="462"/>
      <c r="AA16" s="462"/>
      <c r="AB16" s="464">
        <f t="shared" si="8"/>
        <v>7311</v>
      </c>
      <c r="AC16" s="465">
        <f>PL06!G38</f>
        <v>2550</v>
      </c>
      <c r="AD16" s="465">
        <v>690</v>
      </c>
      <c r="AE16" s="465">
        <f t="shared" si="9"/>
        <v>1860</v>
      </c>
      <c r="AF16" s="465"/>
      <c r="AG16" s="465">
        <f>+PL06!G39</f>
        <v>4761</v>
      </c>
      <c r="AH16" s="466">
        <f t="shared" si="3"/>
        <v>7311</v>
      </c>
      <c r="AI16" s="467">
        <f t="shared" si="10"/>
        <v>7311</v>
      </c>
      <c r="AJ16" s="465"/>
    </row>
    <row r="17" spans="1:36" ht="21" customHeight="1">
      <c r="A17" s="458">
        <v>4</v>
      </c>
      <c r="B17" s="11" t="s">
        <v>189</v>
      </c>
      <c r="C17" s="456">
        <f t="shared" si="4"/>
        <v>3550</v>
      </c>
      <c r="D17" s="9">
        <f>+PL06!H12</f>
        <v>3550</v>
      </c>
      <c r="E17" s="9"/>
      <c r="F17" s="9">
        <f t="shared" si="1"/>
        <v>0</v>
      </c>
      <c r="G17" s="459"/>
      <c r="H17" s="459"/>
      <c r="I17" s="459"/>
      <c r="J17" s="9"/>
      <c r="K17" s="460">
        <f t="shared" si="5"/>
        <v>0</v>
      </c>
      <c r="L17" s="461"/>
      <c r="M17" s="458"/>
      <c r="N17" s="465"/>
      <c r="O17" s="9"/>
      <c r="P17" s="9">
        <f t="shared" si="2"/>
        <v>0</v>
      </c>
      <c r="Q17" s="461"/>
      <c r="R17" s="461"/>
      <c r="S17" s="9">
        <f t="shared" si="6"/>
        <v>0</v>
      </c>
      <c r="T17" s="9"/>
      <c r="U17" s="9"/>
      <c r="V17" s="9">
        <f t="shared" si="11"/>
        <v>0</v>
      </c>
      <c r="W17" s="9"/>
      <c r="X17" s="9"/>
      <c r="Y17" s="463">
        <f t="shared" si="7"/>
        <v>0</v>
      </c>
      <c r="Z17" s="462"/>
      <c r="AA17" s="462"/>
      <c r="AB17" s="464">
        <f t="shared" si="8"/>
        <v>7145</v>
      </c>
      <c r="AC17" s="465">
        <f>PL06!H38</f>
        <v>1615</v>
      </c>
      <c r="AD17" s="465">
        <v>560</v>
      </c>
      <c r="AE17" s="465">
        <f t="shared" si="9"/>
        <v>1055</v>
      </c>
      <c r="AF17" s="465"/>
      <c r="AG17" s="465">
        <f>+PL06!H39</f>
        <v>5530</v>
      </c>
      <c r="AH17" s="466">
        <f t="shared" si="3"/>
        <v>7145</v>
      </c>
      <c r="AI17" s="467">
        <f t="shared" si="10"/>
        <v>7145</v>
      </c>
      <c r="AJ17" s="465"/>
    </row>
    <row r="18" spans="1:36" ht="21" customHeight="1">
      <c r="A18" s="458">
        <v>5</v>
      </c>
      <c r="B18" s="11" t="s">
        <v>190</v>
      </c>
      <c r="C18" s="456">
        <f t="shared" si="4"/>
        <v>6060</v>
      </c>
      <c r="D18" s="9">
        <f>+PL06!I13</f>
        <v>6060</v>
      </c>
      <c r="E18" s="9"/>
      <c r="F18" s="9">
        <f t="shared" si="1"/>
        <v>0</v>
      </c>
      <c r="G18" s="459"/>
      <c r="H18" s="459"/>
      <c r="I18" s="459"/>
      <c r="J18" s="9"/>
      <c r="K18" s="460">
        <f t="shared" si="5"/>
        <v>0</v>
      </c>
      <c r="L18" s="461"/>
      <c r="M18" s="458"/>
      <c r="N18" s="465"/>
      <c r="O18" s="9"/>
      <c r="P18" s="9">
        <f t="shared" si="2"/>
        <v>0</v>
      </c>
      <c r="Q18" s="461"/>
      <c r="R18" s="461"/>
      <c r="S18" s="9">
        <f t="shared" si="6"/>
        <v>0</v>
      </c>
      <c r="T18" s="9"/>
      <c r="U18" s="9"/>
      <c r="V18" s="9">
        <f t="shared" si="11"/>
        <v>0</v>
      </c>
      <c r="W18" s="9"/>
      <c r="X18" s="9"/>
      <c r="Y18" s="463">
        <f t="shared" si="7"/>
        <v>0</v>
      </c>
      <c r="Z18" s="462"/>
      <c r="AA18" s="462"/>
      <c r="AB18" s="464">
        <f t="shared" si="8"/>
        <v>7096</v>
      </c>
      <c r="AC18" s="465">
        <f>PL06!I38</f>
        <v>2720</v>
      </c>
      <c r="AD18" s="465">
        <v>990</v>
      </c>
      <c r="AE18" s="465">
        <f t="shared" si="9"/>
        <v>1730</v>
      </c>
      <c r="AF18" s="465"/>
      <c r="AG18" s="465">
        <f>+PL06!I39</f>
        <v>4376</v>
      </c>
      <c r="AH18" s="466">
        <f t="shared" si="3"/>
        <v>7096</v>
      </c>
      <c r="AI18" s="467">
        <f t="shared" si="10"/>
        <v>7096</v>
      </c>
      <c r="AJ18" s="465"/>
    </row>
    <row r="19" spans="1:36" s="469" customFormat="1" ht="21" customHeight="1">
      <c r="A19" s="458">
        <v>6</v>
      </c>
      <c r="B19" s="11" t="s">
        <v>191</v>
      </c>
      <c r="C19" s="456">
        <f t="shared" si="4"/>
        <v>1080</v>
      </c>
      <c r="D19" s="9">
        <f>+PL06!J13</f>
        <v>1080</v>
      </c>
      <c r="E19" s="460"/>
      <c r="F19" s="9">
        <f t="shared" si="1"/>
        <v>0</v>
      </c>
      <c r="G19" s="459"/>
      <c r="H19" s="459"/>
      <c r="I19" s="459"/>
      <c r="J19" s="9"/>
      <c r="K19" s="460">
        <f t="shared" si="5"/>
        <v>0</v>
      </c>
      <c r="L19" s="461"/>
      <c r="M19" s="458"/>
      <c r="N19" s="465"/>
      <c r="O19" s="9"/>
      <c r="P19" s="9">
        <f t="shared" si="2"/>
        <v>0</v>
      </c>
      <c r="Q19" s="461"/>
      <c r="R19" s="461"/>
      <c r="S19" s="9">
        <f t="shared" si="6"/>
        <v>0</v>
      </c>
      <c r="T19" s="9"/>
      <c r="U19" s="9"/>
      <c r="V19" s="9">
        <f t="shared" si="11"/>
        <v>0</v>
      </c>
      <c r="W19" s="9"/>
      <c r="X19" s="9"/>
      <c r="Y19" s="463">
        <f t="shared" si="7"/>
        <v>0</v>
      </c>
      <c r="Z19" s="462"/>
      <c r="AA19" s="462"/>
      <c r="AB19" s="464">
        <f t="shared" si="8"/>
        <v>6093</v>
      </c>
      <c r="AC19" s="465">
        <f>PL06!J38</f>
        <v>530</v>
      </c>
      <c r="AD19" s="465">
        <v>220</v>
      </c>
      <c r="AE19" s="465">
        <f t="shared" si="9"/>
        <v>310</v>
      </c>
      <c r="AF19" s="465"/>
      <c r="AG19" s="465">
        <f>+PL06!J39</f>
        <v>5563</v>
      </c>
      <c r="AH19" s="466">
        <f t="shared" si="3"/>
        <v>6093</v>
      </c>
      <c r="AI19" s="467">
        <f t="shared" si="10"/>
        <v>6093</v>
      </c>
      <c r="AJ19" s="465"/>
    </row>
    <row r="20" spans="1:36" ht="21" customHeight="1">
      <c r="A20" s="458">
        <v>7</v>
      </c>
      <c r="B20" s="11" t="s">
        <v>27</v>
      </c>
      <c r="C20" s="456">
        <f t="shared" si="4"/>
        <v>2895</v>
      </c>
      <c r="D20" s="9">
        <f>+PL06!K13</f>
        <v>2895</v>
      </c>
      <c r="E20" s="470">
        <f>'[1]PL06'!K34</f>
        <v>0</v>
      </c>
      <c r="F20" s="9">
        <f t="shared" si="1"/>
        <v>0</v>
      </c>
      <c r="G20" s="459"/>
      <c r="H20" s="459"/>
      <c r="I20" s="459"/>
      <c r="J20" s="9"/>
      <c r="K20" s="460">
        <f t="shared" si="5"/>
        <v>0</v>
      </c>
      <c r="L20" s="461"/>
      <c r="M20" s="458"/>
      <c r="N20" s="465"/>
      <c r="O20" s="9"/>
      <c r="P20" s="9">
        <f t="shared" si="2"/>
        <v>0</v>
      </c>
      <c r="Q20" s="461"/>
      <c r="R20" s="461"/>
      <c r="S20" s="9">
        <f t="shared" si="6"/>
        <v>0</v>
      </c>
      <c r="T20" s="9"/>
      <c r="U20" s="9"/>
      <c r="V20" s="9">
        <f t="shared" si="11"/>
        <v>0</v>
      </c>
      <c r="W20" s="9"/>
      <c r="X20" s="9"/>
      <c r="Y20" s="463">
        <f t="shared" si="7"/>
        <v>0</v>
      </c>
      <c r="Z20" s="462"/>
      <c r="AA20" s="462"/>
      <c r="AB20" s="464">
        <f t="shared" si="8"/>
        <v>7958</v>
      </c>
      <c r="AC20" s="465">
        <f>PL06!K38</f>
        <v>1512</v>
      </c>
      <c r="AD20" s="465">
        <v>590</v>
      </c>
      <c r="AE20" s="465">
        <f t="shared" si="9"/>
        <v>922</v>
      </c>
      <c r="AF20" s="470">
        <f>E20</f>
        <v>0</v>
      </c>
      <c r="AG20" s="470">
        <f>+PL06!K39</f>
        <v>6446</v>
      </c>
      <c r="AH20" s="466">
        <f t="shared" si="3"/>
        <v>7958</v>
      </c>
      <c r="AI20" s="467">
        <f t="shared" si="10"/>
        <v>7958</v>
      </c>
      <c r="AJ20" s="465">
        <f>AF20</f>
        <v>0</v>
      </c>
    </row>
    <row r="21" spans="1:36" ht="21" customHeight="1">
      <c r="A21" s="458">
        <v>8</v>
      </c>
      <c r="B21" s="11" t="s">
        <v>28</v>
      </c>
      <c r="C21" s="456">
        <f t="shared" si="4"/>
        <v>1135</v>
      </c>
      <c r="D21" s="9">
        <f>+PL06!L13</f>
        <v>1135</v>
      </c>
      <c r="E21" s="470">
        <f>'[1]PL06'!L34</f>
        <v>0</v>
      </c>
      <c r="F21" s="9">
        <f t="shared" si="1"/>
        <v>0</v>
      </c>
      <c r="G21" s="459"/>
      <c r="H21" s="459"/>
      <c r="I21" s="459"/>
      <c r="J21" s="9"/>
      <c r="K21" s="460">
        <f t="shared" si="5"/>
        <v>0</v>
      </c>
      <c r="L21" s="461"/>
      <c r="M21" s="458"/>
      <c r="N21" s="465"/>
      <c r="O21" s="9"/>
      <c r="P21" s="9">
        <f t="shared" si="2"/>
        <v>0</v>
      </c>
      <c r="Q21" s="461"/>
      <c r="R21" s="461"/>
      <c r="S21" s="9">
        <f t="shared" si="6"/>
        <v>0</v>
      </c>
      <c r="T21" s="9"/>
      <c r="U21" s="9"/>
      <c r="V21" s="9">
        <f t="shared" si="11"/>
        <v>0</v>
      </c>
      <c r="W21" s="9"/>
      <c r="X21" s="9"/>
      <c r="Y21" s="463">
        <f t="shared" si="7"/>
        <v>0</v>
      </c>
      <c r="Z21" s="462"/>
      <c r="AA21" s="462"/>
      <c r="AB21" s="464">
        <f t="shared" si="8"/>
        <v>6653</v>
      </c>
      <c r="AC21" s="465">
        <f>PL06!L38</f>
        <v>530</v>
      </c>
      <c r="AD21" s="465">
        <v>125</v>
      </c>
      <c r="AE21" s="465">
        <f t="shared" si="9"/>
        <v>405</v>
      </c>
      <c r="AF21" s="470">
        <f aca="true" t="shared" si="12" ref="AF21:AF28">E21</f>
        <v>0</v>
      </c>
      <c r="AG21" s="470">
        <f>+PL06!L39</f>
        <v>6123</v>
      </c>
      <c r="AH21" s="466">
        <f t="shared" si="3"/>
        <v>6653</v>
      </c>
      <c r="AI21" s="467">
        <f t="shared" si="10"/>
        <v>6653</v>
      </c>
      <c r="AJ21" s="465">
        <f aca="true" t="shared" si="13" ref="AJ21:AJ28">AF21</f>
        <v>0</v>
      </c>
    </row>
    <row r="22" spans="1:36" ht="21" customHeight="1">
      <c r="A22" s="458">
        <v>9</v>
      </c>
      <c r="B22" s="11" t="s">
        <v>29</v>
      </c>
      <c r="C22" s="456">
        <f t="shared" si="4"/>
        <v>3743</v>
      </c>
      <c r="D22" s="9">
        <f>+PL06!M13</f>
        <v>3743</v>
      </c>
      <c r="E22" s="470">
        <f>'[1]PL06'!M34</f>
        <v>0</v>
      </c>
      <c r="F22" s="9">
        <f t="shared" si="1"/>
        <v>0</v>
      </c>
      <c r="G22" s="459"/>
      <c r="H22" s="459"/>
      <c r="I22" s="459"/>
      <c r="J22" s="9"/>
      <c r="K22" s="460">
        <f t="shared" si="5"/>
        <v>0</v>
      </c>
      <c r="L22" s="461"/>
      <c r="M22" s="458"/>
      <c r="N22" s="465"/>
      <c r="O22" s="9"/>
      <c r="P22" s="9">
        <f t="shared" si="2"/>
        <v>0</v>
      </c>
      <c r="Q22" s="461"/>
      <c r="R22" s="461"/>
      <c r="S22" s="9">
        <f t="shared" si="6"/>
        <v>0</v>
      </c>
      <c r="T22" s="9"/>
      <c r="U22" s="9"/>
      <c r="V22" s="9">
        <f t="shared" si="11"/>
        <v>0</v>
      </c>
      <c r="W22" s="9"/>
      <c r="X22" s="9"/>
      <c r="Y22" s="463">
        <f t="shared" si="7"/>
        <v>0</v>
      </c>
      <c r="Z22" s="462"/>
      <c r="AA22" s="462"/>
      <c r="AB22" s="464">
        <f t="shared" si="8"/>
        <v>7508</v>
      </c>
      <c r="AC22" s="465">
        <f>PL06!M38</f>
        <v>1618</v>
      </c>
      <c r="AD22" s="465">
        <v>393</v>
      </c>
      <c r="AE22" s="465">
        <f t="shared" si="9"/>
        <v>1225</v>
      </c>
      <c r="AF22" s="470">
        <f t="shared" si="12"/>
        <v>0</v>
      </c>
      <c r="AG22" s="470">
        <f>+PL06!M39</f>
        <v>5890</v>
      </c>
      <c r="AH22" s="466">
        <f t="shared" si="3"/>
        <v>7508</v>
      </c>
      <c r="AI22" s="467">
        <f t="shared" si="10"/>
        <v>7508</v>
      </c>
      <c r="AJ22" s="465">
        <f t="shared" si="13"/>
        <v>0</v>
      </c>
    </row>
    <row r="23" spans="1:36" ht="21" customHeight="1">
      <c r="A23" s="458">
        <v>10</v>
      </c>
      <c r="B23" s="11" t="s">
        <v>30</v>
      </c>
      <c r="C23" s="456">
        <f t="shared" si="4"/>
        <v>2028</v>
      </c>
      <c r="D23" s="9">
        <f>+PL06!N13</f>
        <v>2028</v>
      </c>
      <c r="E23" s="470">
        <f>'[1]PL06'!N34</f>
        <v>0</v>
      </c>
      <c r="F23" s="9">
        <f t="shared" si="1"/>
        <v>0</v>
      </c>
      <c r="G23" s="459"/>
      <c r="H23" s="459"/>
      <c r="I23" s="459"/>
      <c r="J23" s="9"/>
      <c r="K23" s="460">
        <f t="shared" si="5"/>
        <v>0</v>
      </c>
      <c r="L23" s="461"/>
      <c r="M23" s="458"/>
      <c r="N23" s="465"/>
      <c r="O23" s="9"/>
      <c r="P23" s="9">
        <f t="shared" si="2"/>
        <v>0</v>
      </c>
      <c r="Q23" s="461"/>
      <c r="R23" s="461"/>
      <c r="S23" s="9">
        <f t="shared" si="6"/>
        <v>0</v>
      </c>
      <c r="T23" s="9"/>
      <c r="U23" s="9"/>
      <c r="V23" s="9">
        <f t="shared" si="11"/>
        <v>0</v>
      </c>
      <c r="W23" s="9"/>
      <c r="X23" s="9"/>
      <c r="Y23" s="463">
        <f t="shared" si="7"/>
        <v>0</v>
      </c>
      <c r="Z23" s="462"/>
      <c r="AA23" s="462"/>
      <c r="AB23" s="464">
        <f t="shared" si="8"/>
        <v>6817</v>
      </c>
      <c r="AC23" s="465">
        <f>PL06!N38</f>
        <v>1008</v>
      </c>
      <c r="AD23" s="465">
        <v>308</v>
      </c>
      <c r="AE23" s="465">
        <f t="shared" si="9"/>
        <v>700</v>
      </c>
      <c r="AF23" s="470">
        <f t="shared" si="12"/>
        <v>0</v>
      </c>
      <c r="AG23" s="470">
        <f>+PL06!N39</f>
        <v>5809</v>
      </c>
      <c r="AH23" s="466">
        <f t="shared" si="3"/>
        <v>6817</v>
      </c>
      <c r="AI23" s="467">
        <f t="shared" si="10"/>
        <v>6817</v>
      </c>
      <c r="AJ23" s="465">
        <f t="shared" si="13"/>
        <v>0</v>
      </c>
    </row>
    <row r="24" spans="1:36" ht="21" customHeight="1">
      <c r="A24" s="458">
        <v>11</v>
      </c>
      <c r="B24" s="11" t="s">
        <v>31</v>
      </c>
      <c r="C24" s="456">
        <f t="shared" si="4"/>
        <v>3252</v>
      </c>
      <c r="D24" s="9">
        <f>+PL06!O13</f>
        <v>3252</v>
      </c>
      <c r="E24" s="470">
        <f>'[1]PL06'!O34</f>
        <v>0</v>
      </c>
      <c r="F24" s="9">
        <f t="shared" si="1"/>
        <v>0</v>
      </c>
      <c r="G24" s="459"/>
      <c r="H24" s="459"/>
      <c r="I24" s="459"/>
      <c r="J24" s="9"/>
      <c r="K24" s="460">
        <f t="shared" si="5"/>
        <v>0</v>
      </c>
      <c r="L24" s="461"/>
      <c r="M24" s="458"/>
      <c r="N24" s="465"/>
      <c r="O24" s="9"/>
      <c r="P24" s="9">
        <f t="shared" si="2"/>
        <v>0</v>
      </c>
      <c r="Q24" s="461"/>
      <c r="R24" s="461"/>
      <c r="S24" s="9">
        <f t="shared" si="6"/>
        <v>0</v>
      </c>
      <c r="T24" s="9"/>
      <c r="U24" s="9"/>
      <c r="V24" s="9">
        <f t="shared" si="11"/>
        <v>0</v>
      </c>
      <c r="W24" s="9"/>
      <c r="X24" s="9"/>
      <c r="Y24" s="463">
        <f t="shared" si="7"/>
        <v>0</v>
      </c>
      <c r="Z24" s="462"/>
      <c r="AA24" s="462"/>
      <c r="AB24" s="464">
        <f t="shared" si="8"/>
        <v>7128</v>
      </c>
      <c r="AC24" s="465">
        <f>PL06!O38</f>
        <v>1499</v>
      </c>
      <c r="AD24" s="465">
        <v>472</v>
      </c>
      <c r="AE24" s="465">
        <f t="shared" si="9"/>
        <v>1027</v>
      </c>
      <c r="AF24" s="470">
        <f t="shared" si="12"/>
        <v>0</v>
      </c>
      <c r="AG24" s="470">
        <f>+PL06!O39</f>
        <v>5629</v>
      </c>
      <c r="AH24" s="466">
        <f t="shared" si="3"/>
        <v>7128</v>
      </c>
      <c r="AI24" s="467">
        <f t="shared" si="10"/>
        <v>7128</v>
      </c>
      <c r="AJ24" s="465">
        <f t="shared" si="13"/>
        <v>0</v>
      </c>
    </row>
    <row r="25" spans="1:36" ht="21" customHeight="1">
      <c r="A25" s="458">
        <v>12</v>
      </c>
      <c r="B25" s="11" t="s">
        <v>192</v>
      </c>
      <c r="C25" s="456">
        <f t="shared" si="4"/>
        <v>4270</v>
      </c>
      <c r="D25" s="9">
        <f>+PL06!P13</f>
        <v>1690</v>
      </c>
      <c r="E25" s="470">
        <f>PL07!Q21</f>
        <v>2580</v>
      </c>
      <c r="F25" s="9">
        <f t="shared" si="1"/>
        <v>0</v>
      </c>
      <c r="G25" s="459"/>
      <c r="H25" s="459"/>
      <c r="I25" s="459"/>
      <c r="J25" s="9"/>
      <c r="K25" s="460">
        <f t="shared" si="5"/>
        <v>0</v>
      </c>
      <c r="L25" s="461"/>
      <c r="M25" s="458"/>
      <c r="N25" s="465"/>
      <c r="O25" s="9"/>
      <c r="P25" s="9">
        <f t="shared" si="2"/>
        <v>0</v>
      </c>
      <c r="Q25" s="461"/>
      <c r="R25" s="461"/>
      <c r="S25" s="9">
        <f t="shared" si="6"/>
        <v>0</v>
      </c>
      <c r="T25" s="9"/>
      <c r="U25" s="9"/>
      <c r="V25" s="9">
        <f t="shared" si="11"/>
        <v>0</v>
      </c>
      <c r="W25" s="9"/>
      <c r="X25" s="9"/>
      <c r="Y25" s="463">
        <f t="shared" si="7"/>
        <v>0</v>
      </c>
      <c r="Z25" s="462"/>
      <c r="AA25" s="462"/>
      <c r="AB25" s="464">
        <f t="shared" si="8"/>
        <v>10865</v>
      </c>
      <c r="AC25" s="465">
        <f>PL06!P38</f>
        <v>925</v>
      </c>
      <c r="AD25" s="465">
        <v>250</v>
      </c>
      <c r="AE25" s="465">
        <f t="shared" si="9"/>
        <v>675</v>
      </c>
      <c r="AF25" s="470">
        <f t="shared" si="12"/>
        <v>2580</v>
      </c>
      <c r="AG25" s="470">
        <f>+PL06!P39</f>
        <v>7360</v>
      </c>
      <c r="AH25" s="466">
        <f t="shared" si="3"/>
        <v>10865</v>
      </c>
      <c r="AI25" s="467">
        <f>AB25-AF25</f>
        <v>8285</v>
      </c>
      <c r="AJ25" s="465">
        <f t="shared" si="13"/>
        <v>2580</v>
      </c>
    </row>
    <row r="26" spans="1:36" ht="21" customHeight="1">
      <c r="A26" s="458">
        <v>13</v>
      </c>
      <c r="B26" s="11" t="s">
        <v>193</v>
      </c>
      <c r="C26" s="456">
        <f t="shared" si="4"/>
        <v>2368</v>
      </c>
      <c r="D26" s="9">
        <f>+PL06!Q13</f>
        <v>1700</v>
      </c>
      <c r="E26" s="470">
        <f>PL07!R21</f>
        <v>668</v>
      </c>
      <c r="F26" s="9">
        <f t="shared" si="1"/>
        <v>0</v>
      </c>
      <c r="G26" s="459"/>
      <c r="H26" s="459"/>
      <c r="I26" s="459"/>
      <c r="J26" s="9"/>
      <c r="K26" s="460">
        <f t="shared" si="5"/>
        <v>0</v>
      </c>
      <c r="L26" s="461"/>
      <c r="M26" s="458"/>
      <c r="N26" s="465"/>
      <c r="O26" s="9"/>
      <c r="P26" s="9">
        <f t="shared" si="2"/>
        <v>0</v>
      </c>
      <c r="Q26" s="461"/>
      <c r="R26" s="461"/>
      <c r="S26" s="9">
        <f t="shared" si="6"/>
        <v>0</v>
      </c>
      <c r="T26" s="9"/>
      <c r="U26" s="9"/>
      <c r="V26" s="9">
        <f t="shared" si="11"/>
        <v>0</v>
      </c>
      <c r="W26" s="9"/>
      <c r="X26" s="9"/>
      <c r="Y26" s="463">
        <f t="shared" si="7"/>
        <v>0</v>
      </c>
      <c r="Z26" s="462"/>
      <c r="AA26" s="462"/>
      <c r="AB26" s="464">
        <f t="shared" si="8"/>
        <v>7914</v>
      </c>
      <c r="AC26" s="465">
        <f>PL06!Q38</f>
        <v>832</v>
      </c>
      <c r="AD26" s="465">
        <v>175</v>
      </c>
      <c r="AE26" s="465">
        <f t="shared" si="9"/>
        <v>657</v>
      </c>
      <c r="AF26" s="470">
        <f t="shared" si="12"/>
        <v>668</v>
      </c>
      <c r="AG26" s="470">
        <f>+PL06!Q39</f>
        <v>6414</v>
      </c>
      <c r="AH26" s="466">
        <f t="shared" si="3"/>
        <v>7914</v>
      </c>
      <c r="AI26" s="467">
        <f>AB26-AF26</f>
        <v>7246</v>
      </c>
      <c r="AJ26" s="465">
        <f t="shared" si="13"/>
        <v>668</v>
      </c>
    </row>
    <row r="27" spans="1:36" ht="21" customHeight="1">
      <c r="A27" s="458">
        <v>14</v>
      </c>
      <c r="B27" s="11" t="s">
        <v>194</v>
      </c>
      <c r="C27" s="456">
        <f t="shared" si="4"/>
        <v>2390</v>
      </c>
      <c r="D27" s="9">
        <f>+PL06!R13</f>
        <v>2390</v>
      </c>
      <c r="E27" s="470">
        <f>PL07!S21</f>
        <v>0</v>
      </c>
      <c r="F27" s="9">
        <f t="shared" si="1"/>
        <v>0</v>
      </c>
      <c r="G27" s="459"/>
      <c r="H27" s="459"/>
      <c r="I27" s="459"/>
      <c r="J27" s="9"/>
      <c r="K27" s="460">
        <f t="shared" si="5"/>
        <v>0</v>
      </c>
      <c r="L27" s="461"/>
      <c r="M27" s="458"/>
      <c r="N27" s="465"/>
      <c r="O27" s="9"/>
      <c r="P27" s="9">
        <f t="shared" si="2"/>
        <v>0</v>
      </c>
      <c r="Q27" s="461"/>
      <c r="R27" s="461"/>
      <c r="S27" s="9">
        <f t="shared" si="6"/>
        <v>0</v>
      </c>
      <c r="T27" s="9"/>
      <c r="U27" s="9"/>
      <c r="V27" s="9">
        <f t="shared" si="11"/>
        <v>0</v>
      </c>
      <c r="W27" s="9"/>
      <c r="X27" s="9"/>
      <c r="Y27" s="463">
        <f t="shared" si="7"/>
        <v>0</v>
      </c>
      <c r="Z27" s="462"/>
      <c r="AA27" s="462"/>
      <c r="AB27" s="464">
        <f t="shared" si="8"/>
        <v>8227</v>
      </c>
      <c r="AC27" s="465">
        <f>PL06!R38</f>
        <v>1212</v>
      </c>
      <c r="AD27" s="465">
        <v>375</v>
      </c>
      <c r="AE27" s="465">
        <f t="shared" si="9"/>
        <v>837</v>
      </c>
      <c r="AF27" s="470">
        <f t="shared" si="12"/>
        <v>0</v>
      </c>
      <c r="AG27" s="470">
        <f>+PL06!R39</f>
        <v>7015</v>
      </c>
      <c r="AH27" s="466">
        <f t="shared" si="3"/>
        <v>8227</v>
      </c>
      <c r="AI27" s="467">
        <f>AB27-AF27</f>
        <v>8227</v>
      </c>
      <c r="AJ27" s="465">
        <f t="shared" si="13"/>
        <v>0</v>
      </c>
    </row>
    <row r="28" spans="1:36" ht="21" customHeight="1">
      <c r="A28" s="458">
        <v>15</v>
      </c>
      <c r="B28" s="11" t="s">
        <v>195</v>
      </c>
      <c r="C28" s="456">
        <f t="shared" si="4"/>
        <v>2429</v>
      </c>
      <c r="D28" s="9">
        <f>+PL06!S13</f>
        <v>2342</v>
      </c>
      <c r="E28" s="470">
        <f>PL07!T21</f>
        <v>87</v>
      </c>
      <c r="F28" s="9">
        <f t="shared" si="1"/>
        <v>0</v>
      </c>
      <c r="G28" s="459"/>
      <c r="H28" s="459"/>
      <c r="I28" s="459"/>
      <c r="J28" s="9"/>
      <c r="K28" s="460">
        <f t="shared" si="5"/>
        <v>0</v>
      </c>
      <c r="L28" s="461"/>
      <c r="M28" s="458"/>
      <c r="N28" s="465"/>
      <c r="O28" s="9"/>
      <c r="P28" s="9">
        <f t="shared" si="2"/>
        <v>0</v>
      </c>
      <c r="Q28" s="461"/>
      <c r="R28" s="461"/>
      <c r="S28" s="9">
        <f t="shared" si="6"/>
        <v>0</v>
      </c>
      <c r="T28" s="9"/>
      <c r="U28" s="9"/>
      <c r="V28" s="9">
        <f t="shared" si="11"/>
        <v>0</v>
      </c>
      <c r="W28" s="9"/>
      <c r="X28" s="9"/>
      <c r="Y28" s="463">
        <f t="shared" si="7"/>
        <v>0</v>
      </c>
      <c r="Z28" s="462"/>
      <c r="AA28" s="462"/>
      <c r="AB28" s="464">
        <f>SUM(AD28:AG28)</f>
        <v>7884</v>
      </c>
      <c r="AC28" s="465">
        <f>PL06!S38</f>
        <v>1187</v>
      </c>
      <c r="AD28" s="465">
        <v>172</v>
      </c>
      <c r="AE28" s="465">
        <f t="shared" si="9"/>
        <v>1015</v>
      </c>
      <c r="AF28" s="470">
        <f t="shared" si="12"/>
        <v>87</v>
      </c>
      <c r="AG28" s="470">
        <f>+PL06!S39</f>
        <v>6610</v>
      </c>
      <c r="AH28" s="466">
        <f t="shared" si="3"/>
        <v>7884</v>
      </c>
      <c r="AI28" s="467">
        <f>AB28-AF28</f>
        <v>7797</v>
      </c>
      <c r="AJ28" s="465">
        <f t="shared" si="13"/>
        <v>87</v>
      </c>
    </row>
    <row r="29" spans="1:28" ht="18.75">
      <c r="A29" s="471"/>
      <c r="B29" s="472"/>
      <c r="C29" s="471"/>
      <c r="D29" s="471"/>
      <c r="E29" s="471"/>
      <c r="F29" s="471"/>
      <c r="G29" s="471"/>
      <c r="H29" s="471"/>
      <c r="I29" s="95"/>
      <c r="J29" s="471"/>
      <c r="K29" s="471"/>
      <c r="L29" s="471"/>
      <c r="M29" s="473"/>
      <c r="N29" s="473"/>
      <c r="O29" s="473"/>
      <c r="P29" s="473"/>
      <c r="Q29" s="473"/>
      <c r="R29" s="473"/>
      <c r="S29" s="473"/>
      <c r="T29" s="473"/>
      <c r="U29" s="473"/>
      <c r="V29" s="473"/>
      <c r="W29" s="473"/>
      <c r="X29" s="473"/>
      <c r="Y29" s="474"/>
      <c r="Z29" s="474"/>
      <c r="AA29" s="474"/>
      <c r="AB29" s="474"/>
    </row>
    <row r="30" spans="1:28" ht="18.75">
      <c r="A30" s="471"/>
      <c r="B30" s="471"/>
      <c r="C30" s="471"/>
      <c r="D30" s="471"/>
      <c r="E30" s="471"/>
      <c r="F30" s="471"/>
      <c r="G30" s="471"/>
      <c r="H30" s="471"/>
      <c r="I30" s="95"/>
      <c r="J30" s="471"/>
      <c r="K30" s="471"/>
      <c r="L30" s="471"/>
      <c r="M30" s="445"/>
      <c r="N30" s="445"/>
      <c r="O30" s="445"/>
      <c r="P30" s="445"/>
      <c r="Q30" s="445"/>
      <c r="R30" s="445"/>
      <c r="S30" s="445"/>
      <c r="T30" s="445"/>
      <c r="U30" s="445"/>
      <c r="V30" s="445"/>
      <c r="W30" s="445"/>
      <c r="X30" s="445"/>
      <c r="Y30" s="475"/>
      <c r="Z30" s="475"/>
      <c r="AA30" s="475"/>
      <c r="AB30" s="475"/>
    </row>
    <row r="31" spans="1:28" ht="18.75">
      <c r="A31" s="471"/>
      <c r="B31" s="471"/>
      <c r="C31" s="471"/>
      <c r="D31" s="471"/>
      <c r="E31" s="471"/>
      <c r="F31" s="471"/>
      <c r="G31" s="471"/>
      <c r="H31" s="471"/>
      <c r="I31" s="95"/>
      <c r="J31" s="471"/>
      <c r="K31" s="471"/>
      <c r="L31" s="471"/>
      <c r="M31" s="445"/>
      <c r="N31" s="445"/>
      <c r="O31" s="445"/>
      <c r="P31" s="445"/>
      <c r="Q31" s="445"/>
      <c r="R31" s="445"/>
      <c r="S31" s="445"/>
      <c r="T31" s="445"/>
      <c r="U31" s="445"/>
      <c r="V31" s="445"/>
      <c r="W31" s="445"/>
      <c r="X31" s="445"/>
      <c r="Y31" s="475"/>
      <c r="Z31" s="475"/>
      <c r="AA31" s="475"/>
      <c r="AB31" s="475"/>
    </row>
    <row r="32" spans="1:28" ht="18.75">
      <c r="A32" s="471"/>
      <c r="B32" s="471"/>
      <c r="C32" s="471"/>
      <c r="D32" s="471"/>
      <c r="E32" s="471"/>
      <c r="F32" s="471"/>
      <c r="G32" s="471"/>
      <c r="H32" s="471"/>
      <c r="I32" s="95"/>
      <c r="J32" s="471"/>
      <c r="K32" s="471"/>
      <c r="L32" s="471"/>
      <c r="M32" s="445"/>
      <c r="N32" s="445"/>
      <c r="O32" s="445"/>
      <c r="P32" s="445"/>
      <c r="Q32" s="476"/>
      <c r="R32" s="445"/>
      <c r="S32" s="445"/>
      <c r="T32" s="445"/>
      <c r="U32" s="445"/>
      <c r="V32" s="445"/>
      <c r="W32" s="445"/>
      <c r="X32" s="445"/>
      <c r="Y32" s="475"/>
      <c r="Z32" s="475"/>
      <c r="AA32" s="475"/>
      <c r="AB32" s="475"/>
    </row>
  </sheetData>
  <sheetProtection/>
  <mergeCells count="58">
    <mergeCell ref="AB8:AJ8"/>
    <mergeCell ref="AI9:AJ9"/>
    <mergeCell ref="AC11:AC12"/>
    <mergeCell ref="AD11:AD12"/>
    <mergeCell ref="AF10:AF12"/>
    <mergeCell ref="AH9:AH12"/>
    <mergeCell ref="AB9:AB12"/>
    <mergeCell ref="AC9:AG9"/>
    <mergeCell ref="AA10:AA12"/>
    <mergeCell ref="AC10:AE10"/>
    <mergeCell ref="Q9:R10"/>
    <mergeCell ref="G10:G12"/>
    <mergeCell ref="M10:M12"/>
    <mergeCell ref="T11:T12"/>
    <mergeCell ref="U11:U12"/>
    <mergeCell ref="H10:H12"/>
    <mergeCell ref="I10:I12"/>
    <mergeCell ref="J10:J12"/>
    <mergeCell ref="V8:X9"/>
    <mergeCell ref="Q11:Q12"/>
    <mergeCell ref="R11:R12"/>
    <mergeCell ref="C9:C12"/>
    <mergeCell ref="D9:D12"/>
    <mergeCell ref="E9:E12"/>
    <mergeCell ref="F9:F12"/>
    <mergeCell ref="G9:J9"/>
    <mergeCell ref="K9:K12"/>
    <mergeCell ref="P9:P12"/>
    <mergeCell ref="K8:M8"/>
    <mergeCell ref="A4:AJ4"/>
    <mergeCell ref="AG10:AG12"/>
    <mergeCell ref="AE11:AE12"/>
    <mergeCell ref="W10:W12"/>
    <mergeCell ref="X10:X12"/>
    <mergeCell ref="Y10:Y12"/>
    <mergeCell ref="Z10:Z12"/>
    <mergeCell ref="L9:M9"/>
    <mergeCell ref="S8:U8"/>
    <mergeCell ref="L10:L12"/>
    <mergeCell ref="A5:AJ5"/>
    <mergeCell ref="L7:M7"/>
    <mergeCell ref="A8:A12"/>
    <mergeCell ref="B8:B12"/>
    <mergeCell ref="C8:E8"/>
    <mergeCell ref="F8:J8"/>
    <mergeCell ref="N7:O7"/>
    <mergeCell ref="V7:Y7"/>
    <mergeCell ref="Y8:AA9"/>
    <mergeCell ref="AI7:AJ7"/>
    <mergeCell ref="A6:AJ6"/>
    <mergeCell ref="V10:V12"/>
    <mergeCell ref="AI10:AI12"/>
    <mergeCell ref="AJ10:AJ12"/>
    <mergeCell ref="N8:N12"/>
    <mergeCell ref="O8:O12"/>
    <mergeCell ref="P8:R8"/>
    <mergeCell ref="S9:S12"/>
    <mergeCell ref="T9:U10"/>
  </mergeCells>
  <printOptions/>
  <pageMargins left="0.6692913385826772" right="0.31496062992125984" top="0.3937007874015748" bottom="0.3937007874015748" header="0.5118110236220472" footer="0.31496062992125984"/>
  <pageSetup horizontalDpi="600" verticalDpi="600" orientation="landscape" paperSize="9" scale="85" r:id="rId2"/>
  <drawing r:id="rId1"/>
</worksheet>
</file>

<file path=xl/worksheets/sheet11.xml><?xml version="1.0" encoding="utf-8"?>
<worksheet xmlns="http://schemas.openxmlformats.org/spreadsheetml/2006/main" xmlns:r="http://schemas.openxmlformats.org/officeDocument/2006/relationships">
  <sheetPr>
    <tabColor rgb="FF0070C0"/>
  </sheetPr>
  <dimension ref="A1:F42"/>
  <sheetViews>
    <sheetView zoomScale="110" zoomScaleNormal="110" zoomScalePageLayoutView="0" workbookViewId="0" topLeftCell="A3">
      <selection activeCell="A9" sqref="A9:F9"/>
    </sheetView>
  </sheetViews>
  <sheetFormatPr defaultColWidth="11.140625" defaultRowHeight="12.75"/>
  <cols>
    <col min="1" max="1" width="5.28125" style="161" customWidth="1"/>
    <col min="2" max="2" width="37.28125" style="161" customWidth="1"/>
    <col min="3" max="3" width="51.421875" style="158" hidden="1" customWidth="1"/>
    <col min="4" max="4" width="23.7109375" style="159" hidden="1" customWidth="1"/>
    <col min="5" max="5" width="53.28125" style="158" customWidth="1"/>
    <col min="6" max="6" width="19.7109375" style="160" customWidth="1"/>
    <col min="7" max="16384" width="11.140625" style="161" customWidth="1"/>
  </cols>
  <sheetData>
    <row r="1" spans="1:2" ht="18.75" customHeight="1" hidden="1">
      <c r="A1" s="157" t="s">
        <v>246</v>
      </c>
      <c r="B1" s="157"/>
    </row>
    <row r="2" spans="1:2" ht="18.75" customHeight="1" hidden="1">
      <c r="A2" s="157" t="s">
        <v>343</v>
      </c>
      <c r="B2" s="157"/>
    </row>
    <row r="3" spans="1:6" ht="18.75">
      <c r="A3" s="24" t="s">
        <v>852</v>
      </c>
      <c r="B3" s="24"/>
      <c r="F3" s="18"/>
    </row>
    <row r="4" spans="1:2" ht="18.75">
      <c r="A4" s="24" t="s">
        <v>851</v>
      </c>
      <c r="B4" s="24"/>
    </row>
    <row r="6" spans="1:6" ht="21.75" customHeight="1">
      <c r="A6" s="1031" t="s">
        <v>415</v>
      </c>
      <c r="B6" s="1031"/>
      <c r="C6" s="1031"/>
      <c r="D6" s="1031"/>
      <c r="E6" s="1031"/>
      <c r="F6" s="1031"/>
    </row>
    <row r="7" spans="1:6" ht="23.25" customHeight="1">
      <c r="A7" s="1031" t="s">
        <v>847</v>
      </c>
      <c r="B7" s="1031"/>
      <c r="C7" s="1031"/>
      <c r="D7" s="1031"/>
      <c r="E7" s="1031"/>
      <c r="F7" s="1031"/>
    </row>
    <row r="8" spans="1:6" ht="18.75" customHeight="1" hidden="1">
      <c r="A8" s="1032" t="s">
        <v>247</v>
      </c>
      <c r="B8" s="1032"/>
      <c r="C8" s="1032"/>
      <c r="D8" s="1032"/>
      <c r="E8" s="1032"/>
      <c r="F8" s="1032"/>
    </row>
    <row r="9" spans="1:6" s="163" customFormat="1" ht="18.75">
      <c r="A9" s="1030" t="s">
        <v>853</v>
      </c>
      <c r="B9" s="1030"/>
      <c r="C9" s="1030"/>
      <c r="D9" s="1030"/>
      <c r="E9" s="1030"/>
      <c r="F9" s="1030"/>
    </row>
    <row r="10" spans="2:6" ht="18.75">
      <c r="B10" s="164"/>
      <c r="C10" s="164"/>
      <c r="D10" s="165"/>
      <c r="E10" s="166"/>
      <c r="F10" s="167" t="s">
        <v>741</v>
      </c>
    </row>
    <row r="11" spans="1:6" s="162" customFormat="1" ht="21.75" customHeight="1">
      <c r="A11" s="168" t="s">
        <v>266</v>
      </c>
      <c r="B11" s="168" t="s">
        <v>233</v>
      </c>
      <c r="C11" s="169" t="s">
        <v>450</v>
      </c>
      <c r="D11" s="170" t="s">
        <v>234</v>
      </c>
      <c r="E11" s="169" t="s">
        <v>414</v>
      </c>
      <c r="F11" s="30" t="s">
        <v>234</v>
      </c>
    </row>
    <row r="12" spans="1:6" s="162" customFormat="1" ht="21.75" customHeight="1">
      <c r="A12" s="168"/>
      <c r="B12" s="168"/>
      <c r="C12" s="169" t="s">
        <v>297</v>
      </c>
      <c r="D12" s="171">
        <v>2152</v>
      </c>
      <c r="E12" s="169" t="s">
        <v>581</v>
      </c>
      <c r="F12" s="172">
        <f>F13+F41</f>
        <v>2577.6</v>
      </c>
    </row>
    <row r="13" spans="1:6" s="162" customFormat="1" ht="21.75" customHeight="1">
      <c r="A13" s="168" t="s">
        <v>268</v>
      </c>
      <c r="B13" s="173" t="s">
        <v>594</v>
      </c>
      <c r="C13" s="169"/>
      <c r="D13" s="171"/>
      <c r="E13" s="169"/>
      <c r="F13" s="172">
        <f>F14+F28+F31+F34+F39</f>
        <v>2461.6</v>
      </c>
    </row>
    <row r="14" spans="1:6" s="178" customFormat="1" ht="24" customHeight="1">
      <c r="A14" s="168">
        <v>1</v>
      </c>
      <c r="B14" s="174" t="s">
        <v>502</v>
      </c>
      <c r="C14" s="175" t="s">
        <v>451</v>
      </c>
      <c r="D14" s="171">
        <v>895</v>
      </c>
      <c r="E14" s="176"/>
      <c r="F14" s="177">
        <f>SUM(F15:F27)</f>
        <v>2056.6</v>
      </c>
    </row>
    <row r="15" spans="1:6" s="706" customFormat="1" ht="42" customHeight="1">
      <c r="A15" s="701"/>
      <c r="B15" s="702"/>
      <c r="C15" s="703" t="s">
        <v>248</v>
      </c>
      <c r="D15" s="704">
        <v>129</v>
      </c>
      <c r="E15" s="703" t="s">
        <v>742</v>
      </c>
      <c r="F15" s="705">
        <f>3*1*12</f>
        <v>36</v>
      </c>
    </row>
    <row r="16" spans="1:6" s="710" customFormat="1" ht="48" customHeight="1">
      <c r="A16" s="707"/>
      <c r="B16" s="708"/>
      <c r="C16" s="703" t="s">
        <v>39</v>
      </c>
      <c r="D16" s="709">
        <v>36</v>
      </c>
      <c r="E16" s="703" t="s">
        <v>743</v>
      </c>
      <c r="F16" s="705">
        <v>158</v>
      </c>
    </row>
    <row r="17" spans="1:6" s="710" customFormat="1" ht="41.25" customHeight="1">
      <c r="A17" s="707"/>
      <c r="B17" s="708"/>
      <c r="C17" s="703" t="s">
        <v>40</v>
      </c>
      <c r="D17" s="709">
        <v>324</v>
      </c>
      <c r="E17" s="703" t="s">
        <v>744</v>
      </c>
      <c r="F17" s="705">
        <v>756</v>
      </c>
    </row>
    <row r="18" spans="1:6" s="710" customFormat="1" ht="42.75" customHeight="1">
      <c r="A18" s="707"/>
      <c r="B18" s="708"/>
      <c r="C18" s="703" t="s">
        <v>41</v>
      </c>
      <c r="D18" s="709">
        <v>3</v>
      </c>
      <c r="E18" s="703" t="s">
        <v>745</v>
      </c>
      <c r="F18" s="705">
        <v>3.6</v>
      </c>
    </row>
    <row r="19" spans="1:6" s="710" customFormat="1" ht="43.5" customHeight="1">
      <c r="A19" s="707"/>
      <c r="B19" s="708"/>
      <c r="C19" s="703" t="s">
        <v>42</v>
      </c>
      <c r="D19" s="709">
        <v>2</v>
      </c>
      <c r="E19" s="703" t="s">
        <v>746</v>
      </c>
      <c r="F19" s="705">
        <v>2</v>
      </c>
    </row>
    <row r="20" spans="1:6" s="710" customFormat="1" ht="61.5" customHeight="1">
      <c r="A20" s="707"/>
      <c r="B20" s="708"/>
      <c r="C20" s="703" t="s">
        <v>249</v>
      </c>
      <c r="D20" s="709">
        <v>30</v>
      </c>
      <c r="E20" s="703" t="s">
        <v>747</v>
      </c>
      <c r="F20" s="711">
        <v>38</v>
      </c>
    </row>
    <row r="21" spans="1:6" s="710" customFormat="1" ht="33" customHeight="1">
      <c r="A21" s="707"/>
      <c r="B21" s="708"/>
      <c r="C21" s="703" t="s">
        <v>250</v>
      </c>
      <c r="D21" s="709">
        <v>162</v>
      </c>
      <c r="E21" s="703" t="s">
        <v>487</v>
      </c>
      <c r="F21" s="705">
        <v>20</v>
      </c>
    </row>
    <row r="22" spans="1:6" s="710" customFormat="1" ht="30" customHeight="1">
      <c r="A22" s="707"/>
      <c r="B22" s="708"/>
      <c r="C22" s="703" t="s">
        <v>251</v>
      </c>
      <c r="D22" s="709">
        <v>80</v>
      </c>
      <c r="E22" s="703" t="s">
        <v>251</v>
      </c>
      <c r="F22" s="705">
        <v>110</v>
      </c>
    </row>
    <row r="23" spans="1:6" s="710" customFormat="1" ht="33.75" customHeight="1">
      <c r="A23" s="707"/>
      <c r="B23" s="708"/>
      <c r="C23" s="703" t="s">
        <v>252</v>
      </c>
      <c r="D23" s="709">
        <v>24</v>
      </c>
      <c r="E23" s="703" t="s">
        <v>488</v>
      </c>
      <c r="F23" s="705">
        <v>15</v>
      </c>
    </row>
    <row r="24" spans="1:6" s="710" customFormat="1" ht="39.75" customHeight="1">
      <c r="A24" s="707"/>
      <c r="B24" s="708"/>
      <c r="C24" s="703" t="s">
        <v>253</v>
      </c>
      <c r="D24" s="709">
        <v>29</v>
      </c>
      <c r="E24" s="703" t="s">
        <v>748</v>
      </c>
      <c r="F24" s="705">
        <v>40</v>
      </c>
    </row>
    <row r="25" spans="1:6" s="710" customFormat="1" ht="42.75" customHeight="1">
      <c r="A25" s="707"/>
      <c r="B25" s="708"/>
      <c r="C25" s="703" t="s">
        <v>254</v>
      </c>
      <c r="D25" s="709">
        <v>50</v>
      </c>
      <c r="E25" s="703" t="s">
        <v>660</v>
      </c>
      <c r="F25" s="705">
        <v>100</v>
      </c>
    </row>
    <row r="26" spans="1:6" s="710" customFormat="1" ht="64.5" customHeight="1">
      <c r="A26" s="701"/>
      <c r="B26" s="702"/>
      <c r="C26" s="712"/>
      <c r="D26" s="712"/>
      <c r="E26" s="703" t="s">
        <v>749</v>
      </c>
      <c r="F26" s="705">
        <v>346</v>
      </c>
    </row>
    <row r="27" spans="1:6" s="710" customFormat="1" ht="66" customHeight="1">
      <c r="A27" s="701"/>
      <c r="B27" s="702"/>
      <c r="C27" s="712"/>
      <c r="D27" s="712"/>
      <c r="E27" s="703" t="s">
        <v>750</v>
      </c>
      <c r="F27" s="705">
        <v>432</v>
      </c>
    </row>
    <row r="28" spans="1:6" ht="41.25" customHeight="1">
      <c r="A28" s="168">
        <v>2</v>
      </c>
      <c r="B28" s="174" t="s">
        <v>695</v>
      </c>
      <c r="C28" s="183"/>
      <c r="D28" s="181">
        <v>100</v>
      </c>
      <c r="E28" s="183"/>
      <c r="F28" s="172">
        <f>SUM(F29:F30)</f>
        <v>100</v>
      </c>
    </row>
    <row r="29" spans="1:6" ht="60" customHeight="1">
      <c r="A29" s="179"/>
      <c r="B29" s="180"/>
      <c r="C29" s="184" t="s">
        <v>255</v>
      </c>
      <c r="D29" s="171">
        <v>60</v>
      </c>
      <c r="E29" s="184" t="s">
        <v>751</v>
      </c>
      <c r="F29" s="185">
        <v>60</v>
      </c>
    </row>
    <row r="30" spans="1:6" ht="33" customHeight="1">
      <c r="A30" s="179"/>
      <c r="B30" s="180"/>
      <c r="C30" s="184" t="s">
        <v>256</v>
      </c>
      <c r="D30" s="181">
        <v>40</v>
      </c>
      <c r="E30" s="184" t="s">
        <v>256</v>
      </c>
      <c r="F30" s="185">
        <v>40</v>
      </c>
    </row>
    <row r="31" spans="1:6" ht="35.25" customHeight="1">
      <c r="A31" s="168">
        <v>3</v>
      </c>
      <c r="B31" s="174" t="s">
        <v>351</v>
      </c>
      <c r="C31" s="183"/>
      <c r="D31" s="181">
        <v>100</v>
      </c>
      <c r="E31" s="183"/>
      <c r="F31" s="172">
        <f>SUM(F32:F33)</f>
        <v>100</v>
      </c>
    </row>
    <row r="32" spans="1:6" ht="61.5" customHeight="1">
      <c r="A32" s="179"/>
      <c r="B32" s="180"/>
      <c r="C32" s="184" t="s">
        <v>257</v>
      </c>
      <c r="D32" s="171">
        <v>72</v>
      </c>
      <c r="E32" s="184" t="s">
        <v>661</v>
      </c>
      <c r="F32" s="185">
        <v>72</v>
      </c>
    </row>
    <row r="33" spans="1:6" ht="32.25" customHeight="1">
      <c r="A33" s="179"/>
      <c r="B33" s="180"/>
      <c r="C33" s="184" t="s">
        <v>326</v>
      </c>
      <c r="D33" s="181">
        <v>28</v>
      </c>
      <c r="E33" s="184" t="s">
        <v>326</v>
      </c>
      <c r="F33" s="185">
        <v>28</v>
      </c>
    </row>
    <row r="34" spans="1:6" s="178" customFormat="1" ht="64.5" customHeight="1">
      <c r="A34" s="169">
        <v>4</v>
      </c>
      <c r="B34" s="186" t="s">
        <v>258</v>
      </c>
      <c r="C34" s="183"/>
      <c r="D34" s="181">
        <v>273</v>
      </c>
      <c r="E34" s="183"/>
      <c r="F34" s="172">
        <f>SUM(F35:F38)</f>
        <v>155</v>
      </c>
    </row>
    <row r="35" spans="1:6" ht="41.25" customHeight="1">
      <c r="A35" s="179"/>
      <c r="B35" s="187" t="s">
        <v>752</v>
      </c>
      <c r="C35" s="188" t="s">
        <v>259</v>
      </c>
      <c r="D35" s="189">
        <v>50</v>
      </c>
      <c r="E35" s="187" t="s">
        <v>259</v>
      </c>
      <c r="F35" s="190">
        <v>50</v>
      </c>
    </row>
    <row r="36" spans="1:6" ht="27.75" customHeight="1">
      <c r="A36" s="179"/>
      <c r="B36" s="187" t="s">
        <v>353</v>
      </c>
      <c r="C36" s="188" t="s">
        <v>259</v>
      </c>
      <c r="D36" s="189">
        <v>40</v>
      </c>
      <c r="E36" s="187" t="s">
        <v>259</v>
      </c>
      <c r="F36" s="190">
        <v>40</v>
      </c>
    </row>
    <row r="37" spans="1:6" ht="54.75" customHeight="1">
      <c r="A37" s="179"/>
      <c r="B37" s="187" t="s">
        <v>662</v>
      </c>
      <c r="C37" s="188" t="s">
        <v>259</v>
      </c>
      <c r="D37" s="189">
        <v>15</v>
      </c>
      <c r="E37" s="187" t="s">
        <v>259</v>
      </c>
      <c r="F37" s="190">
        <v>30</v>
      </c>
    </row>
    <row r="38" spans="1:6" ht="33.75" customHeight="1">
      <c r="A38" s="179"/>
      <c r="B38" s="187" t="s">
        <v>532</v>
      </c>
      <c r="C38" s="188" t="s">
        <v>259</v>
      </c>
      <c r="D38" s="189">
        <v>35</v>
      </c>
      <c r="E38" s="187" t="s">
        <v>259</v>
      </c>
      <c r="F38" s="190">
        <v>35</v>
      </c>
    </row>
    <row r="39" spans="1:6" s="178" customFormat="1" ht="28.5" customHeight="1">
      <c r="A39" s="191">
        <v>5</v>
      </c>
      <c r="B39" s="192" t="s">
        <v>260</v>
      </c>
      <c r="C39" s="193"/>
      <c r="D39" s="194">
        <v>50</v>
      </c>
      <c r="E39" s="193"/>
      <c r="F39" s="195">
        <f>F40</f>
        <v>50</v>
      </c>
    </row>
    <row r="40" spans="1:6" ht="37.5" customHeight="1">
      <c r="A40" s="179"/>
      <c r="B40" s="184" t="s">
        <v>503</v>
      </c>
      <c r="C40" s="184"/>
      <c r="D40" s="181">
        <v>50</v>
      </c>
      <c r="E40" s="184"/>
      <c r="F40" s="185">
        <v>50</v>
      </c>
    </row>
    <row r="41" spans="1:6" ht="27" customHeight="1">
      <c r="A41" s="168" t="s">
        <v>269</v>
      </c>
      <c r="B41" s="173" t="s">
        <v>595</v>
      </c>
      <c r="C41" s="183"/>
      <c r="D41" s="182"/>
      <c r="E41" s="183"/>
      <c r="F41" s="172">
        <f>F42</f>
        <v>116</v>
      </c>
    </row>
    <row r="42" spans="1:6" ht="70.5" customHeight="1">
      <c r="A42" s="169">
        <v>1</v>
      </c>
      <c r="B42" s="186" t="s">
        <v>258</v>
      </c>
      <c r="C42" s="183"/>
      <c r="D42" s="182"/>
      <c r="E42" s="196" t="s">
        <v>681</v>
      </c>
      <c r="F42" s="190">
        <f>2*58</f>
        <v>116</v>
      </c>
    </row>
  </sheetData>
  <sheetProtection/>
  <mergeCells count="4">
    <mergeCell ref="A9:F9"/>
    <mergeCell ref="A7:F7"/>
    <mergeCell ref="A8:F8"/>
    <mergeCell ref="A6:F6"/>
  </mergeCells>
  <printOptions/>
  <pageMargins left="0.59" right="0.47" top="0.45" bottom="0.64" header="0.5" footer="0.19"/>
  <pageSetup horizontalDpi="600" verticalDpi="600" orientation="portrait" paperSize="9" scale="80"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sheetPr>
    <tabColor rgb="FF0070C0"/>
  </sheetPr>
  <dimension ref="A1:G59"/>
  <sheetViews>
    <sheetView zoomScale="120" zoomScaleNormal="120" zoomScalePageLayoutView="0" workbookViewId="0" topLeftCell="A1">
      <selection activeCell="A6" sqref="A6:F6"/>
    </sheetView>
  </sheetViews>
  <sheetFormatPr defaultColWidth="9.140625" defaultRowHeight="12.75"/>
  <cols>
    <col min="1" max="1" width="9.7109375" style="542" customWidth="1"/>
    <col min="2" max="2" width="9.140625" style="546" customWidth="1"/>
    <col min="3" max="3" width="68.421875" style="546" customWidth="1"/>
    <col min="4" max="4" width="16.140625" style="546" customWidth="1"/>
    <col min="5" max="5" width="8.140625" style="546" hidden="1" customWidth="1"/>
    <col min="6" max="6" width="1.28515625" style="546" hidden="1" customWidth="1"/>
    <col min="7" max="16384" width="9.140625" style="546" customWidth="1"/>
  </cols>
  <sheetData>
    <row r="1" spans="1:5" ht="16.5">
      <c r="A1" s="24" t="s">
        <v>852</v>
      </c>
      <c r="B1" s="543"/>
      <c r="C1" s="542"/>
      <c r="D1" s="544"/>
      <c r="E1" s="545"/>
    </row>
    <row r="2" spans="1:5" ht="16.5">
      <c r="A2" s="24" t="s">
        <v>851</v>
      </c>
      <c r="B2" s="543"/>
      <c r="C2" s="542"/>
      <c r="D2" s="544"/>
      <c r="E2" s="545"/>
    </row>
    <row r="3" spans="1:5" ht="15.75">
      <c r="A3" s="543"/>
      <c r="B3" s="543"/>
      <c r="C3" s="542"/>
      <c r="D3" s="544"/>
      <c r="E3" s="545"/>
    </row>
    <row r="4" spans="1:5" ht="15.75">
      <c r="A4" s="1049" t="s">
        <v>416</v>
      </c>
      <c r="B4" s="1049"/>
      <c r="C4" s="1049"/>
      <c r="D4" s="1049"/>
      <c r="E4" s="545"/>
    </row>
    <row r="5" spans="1:6" ht="21" customHeight="1">
      <c r="A5" s="1049" t="s">
        <v>848</v>
      </c>
      <c r="B5" s="1049"/>
      <c r="C5" s="1049"/>
      <c r="D5" s="1049"/>
      <c r="E5" s="1049"/>
      <c r="F5" s="1049"/>
    </row>
    <row r="6" spans="1:6" ht="20.25" customHeight="1">
      <c r="A6" s="1053" t="s">
        <v>853</v>
      </c>
      <c r="B6" s="1053"/>
      <c r="C6" s="1053"/>
      <c r="D6" s="1053"/>
      <c r="E6" s="1053"/>
      <c r="F6" s="1053"/>
    </row>
    <row r="7" spans="1:6" ht="18.75" customHeight="1">
      <c r="A7" s="547"/>
      <c r="B7" s="543"/>
      <c r="C7" s="542"/>
      <c r="D7" s="680" t="s">
        <v>707</v>
      </c>
      <c r="E7" s="1045" t="s">
        <v>265</v>
      </c>
      <c r="F7" s="1045"/>
    </row>
    <row r="8" spans="1:6" ht="38.25" customHeight="1">
      <c r="A8" s="453" t="s">
        <v>266</v>
      </c>
      <c r="B8" s="1021" t="s">
        <v>414</v>
      </c>
      <c r="C8" s="1023"/>
      <c r="D8" s="453" t="s">
        <v>234</v>
      </c>
      <c r="E8" s="453" t="s">
        <v>72</v>
      </c>
      <c r="F8" s="453" t="s">
        <v>73</v>
      </c>
    </row>
    <row r="9" spans="1:6" ht="21" customHeight="1">
      <c r="A9" s="1050" t="s">
        <v>297</v>
      </c>
      <c r="B9" s="1051"/>
      <c r="C9" s="1052"/>
      <c r="D9" s="549">
        <f>D10+D13+D25+D38+D55</f>
        <v>14202</v>
      </c>
      <c r="E9" s="549" t="e">
        <f>E10+E13+E25+#REF!+E38+E55</f>
        <v>#REF!</v>
      </c>
      <c r="F9" s="549" t="e">
        <f>F10+F13+F25+#REF!+F38+F55</f>
        <v>#REF!</v>
      </c>
    </row>
    <row r="10" spans="1:6" ht="19.5" customHeight="1">
      <c r="A10" s="453" t="s">
        <v>268</v>
      </c>
      <c r="B10" s="550" t="s">
        <v>74</v>
      </c>
      <c r="C10" s="548"/>
      <c r="D10" s="549">
        <f>D11</f>
        <v>2634</v>
      </c>
      <c r="E10" s="549">
        <f>E11</f>
        <v>0</v>
      </c>
      <c r="F10" s="551">
        <f>D10-E10</f>
        <v>2634</v>
      </c>
    </row>
    <row r="11" spans="1:6" ht="21" customHeight="1">
      <c r="A11" s="453">
        <v>1</v>
      </c>
      <c r="B11" s="1043" t="s">
        <v>25</v>
      </c>
      <c r="C11" s="1044"/>
      <c r="D11" s="549">
        <f>D12</f>
        <v>2634</v>
      </c>
      <c r="E11" s="549">
        <f>E12</f>
        <v>0</v>
      </c>
      <c r="F11" s="549">
        <f>F12</f>
        <v>2634</v>
      </c>
    </row>
    <row r="12" spans="1:6" ht="36.75" customHeight="1">
      <c r="A12" s="453"/>
      <c r="B12" s="1033" t="s">
        <v>561</v>
      </c>
      <c r="C12" s="1034"/>
      <c r="D12" s="552">
        <v>2634</v>
      </c>
      <c r="E12" s="713"/>
      <c r="F12" s="11">
        <f>D12-E12</f>
        <v>2634</v>
      </c>
    </row>
    <row r="13" spans="1:6" ht="29.25" customHeight="1">
      <c r="A13" s="453" t="s">
        <v>269</v>
      </c>
      <c r="B13" s="1041" t="s">
        <v>6</v>
      </c>
      <c r="C13" s="1042"/>
      <c r="D13" s="549">
        <f>D14+D16+D19+D21+D23</f>
        <v>1230</v>
      </c>
      <c r="E13" s="549" t="e">
        <f>E14+E16+E19+#REF!+#REF!</f>
        <v>#REF!</v>
      </c>
      <c r="F13" s="549" t="e">
        <f>F14+F16+F19+#REF!+#REF!</f>
        <v>#REF!</v>
      </c>
    </row>
    <row r="14" spans="1:6" ht="27" customHeight="1">
      <c r="A14" s="548">
        <v>1</v>
      </c>
      <c r="B14" s="1041" t="s">
        <v>26</v>
      </c>
      <c r="C14" s="1042"/>
      <c r="D14" s="549">
        <f>D15</f>
        <v>333</v>
      </c>
      <c r="E14" s="549">
        <f>E15</f>
        <v>0</v>
      </c>
      <c r="F14" s="549">
        <f>F15</f>
        <v>333</v>
      </c>
    </row>
    <row r="15" spans="1:6" ht="59.25" customHeight="1">
      <c r="A15" s="548"/>
      <c r="B15" s="1033" t="s">
        <v>754</v>
      </c>
      <c r="C15" s="1034"/>
      <c r="D15" s="552">
        <v>333</v>
      </c>
      <c r="E15" s="551">
        <v>0</v>
      </c>
      <c r="F15" s="11">
        <f aca="true" t="shared" si="0" ref="F15:F27">D15-E15</f>
        <v>333</v>
      </c>
    </row>
    <row r="16" spans="1:6" ht="23.25" customHeight="1">
      <c r="A16" s="548">
        <v>2</v>
      </c>
      <c r="B16" s="1039" t="s">
        <v>532</v>
      </c>
      <c r="C16" s="1040"/>
      <c r="D16" s="549">
        <f>D17+D18</f>
        <v>470</v>
      </c>
      <c r="E16" s="551"/>
      <c r="F16" s="551">
        <f t="shared" si="0"/>
        <v>470</v>
      </c>
    </row>
    <row r="17" spans="1:6" ht="47.25" customHeight="1">
      <c r="A17" s="548"/>
      <c r="B17" s="1033" t="s">
        <v>757</v>
      </c>
      <c r="C17" s="1034"/>
      <c r="D17" s="552">
        <v>100</v>
      </c>
      <c r="E17" s="551"/>
      <c r="F17" s="551"/>
    </row>
    <row r="18" spans="1:6" ht="48.75" customHeight="1">
      <c r="A18" s="548"/>
      <c r="B18" s="1033" t="s">
        <v>755</v>
      </c>
      <c r="C18" s="1034"/>
      <c r="D18" s="552">
        <v>370</v>
      </c>
      <c r="E18" s="551"/>
      <c r="F18" s="11">
        <f t="shared" si="0"/>
        <v>370</v>
      </c>
    </row>
    <row r="19" spans="1:6" s="267" customFormat="1" ht="23.25" customHeight="1">
      <c r="A19" s="714">
        <v>3</v>
      </c>
      <c r="B19" s="1043" t="s">
        <v>364</v>
      </c>
      <c r="C19" s="1044"/>
      <c r="D19" s="715">
        <f>D20</f>
        <v>347</v>
      </c>
      <c r="E19" s="716"/>
      <c r="F19" s="716">
        <f t="shared" si="0"/>
        <v>347</v>
      </c>
    </row>
    <row r="20" spans="1:6" s="267" customFormat="1" ht="32.25" customHeight="1">
      <c r="A20" s="714"/>
      <c r="B20" s="1047" t="s">
        <v>756</v>
      </c>
      <c r="C20" s="1048"/>
      <c r="D20" s="717">
        <v>347</v>
      </c>
      <c r="E20" s="716"/>
      <c r="F20" s="718">
        <f t="shared" si="0"/>
        <v>347</v>
      </c>
    </row>
    <row r="21" spans="1:6" ht="23.25" customHeight="1">
      <c r="A21" s="548">
        <v>4</v>
      </c>
      <c r="B21" s="1039" t="s">
        <v>657</v>
      </c>
      <c r="C21" s="1040"/>
      <c r="D21" s="549">
        <f>D22</f>
        <v>70</v>
      </c>
      <c r="E21" s="551"/>
      <c r="F21" s="11"/>
    </row>
    <row r="22" spans="1:6" ht="87" customHeight="1">
      <c r="A22" s="548"/>
      <c r="B22" s="1033" t="s">
        <v>758</v>
      </c>
      <c r="C22" s="1034"/>
      <c r="D22" s="552">
        <v>70</v>
      </c>
      <c r="E22" s="551"/>
      <c r="F22" s="11"/>
    </row>
    <row r="23" spans="1:6" ht="23.25" customHeight="1">
      <c r="A23" s="548">
        <v>5</v>
      </c>
      <c r="B23" s="1039" t="s">
        <v>702</v>
      </c>
      <c r="C23" s="1040"/>
      <c r="D23" s="549">
        <f>D24</f>
        <v>10</v>
      </c>
      <c r="E23" s="551"/>
      <c r="F23" s="11"/>
    </row>
    <row r="24" spans="1:6" ht="35.25" customHeight="1">
      <c r="A24" s="548"/>
      <c r="B24" s="1033" t="s">
        <v>703</v>
      </c>
      <c r="C24" s="1034"/>
      <c r="D24" s="552">
        <v>10</v>
      </c>
      <c r="E24" s="551"/>
      <c r="F24" s="11"/>
    </row>
    <row r="25" spans="1:6" ht="25.5" customHeight="1">
      <c r="A25" s="548" t="s">
        <v>270</v>
      </c>
      <c r="B25" s="1037" t="s">
        <v>75</v>
      </c>
      <c r="C25" s="1038"/>
      <c r="D25" s="549">
        <f>D26+D28+D30+D32+D34+D36</f>
        <v>387</v>
      </c>
      <c r="E25" s="551"/>
      <c r="F25" s="551">
        <f t="shared" si="0"/>
        <v>387</v>
      </c>
    </row>
    <row r="26" spans="1:6" ht="21.75" customHeight="1">
      <c r="A26" s="548">
        <v>1</v>
      </c>
      <c r="B26" s="1043" t="s">
        <v>369</v>
      </c>
      <c r="C26" s="1044"/>
      <c r="D26" s="549">
        <f>D27</f>
        <v>70</v>
      </c>
      <c r="E26" s="551"/>
      <c r="F26" s="551">
        <f t="shared" si="0"/>
        <v>70</v>
      </c>
    </row>
    <row r="27" spans="1:6" ht="41.25" customHeight="1">
      <c r="A27" s="548"/>
      <c r="B27" s="1033" t="s">
        <v>759</v>
      </c>
      <c r="C27" s="1034"/>
      <c r="D27" s="552">
        <v>70</v>
      </c>
      <c r="E27" s="551"/>
      <c r="F27" s="11">
        <f t="shared" si="0"/>
        <v>70</v>
      </c>
    </row>
    <row r="28" spans="1:6" s="542" customFormat="1" ht="21" customHeight="1">
      <c r="A28" s="548">
        <v>2</v>
      </c>
      <c r="B28" s="1039" t="s">
        <v>760</v>
      </c>
      <c r="C28" s="1040"/>
      <c r="D28" s="549">
        <f>D29</f>
        <v>70</v>
      </c>
      <c r="E28" s="551"/>
      <c r="F28" s="551"/>
    </row>
    <row r="29" spans="1:6" ht="34.5" customHeight="1">
      <c r="A29" s="548"/>
      <c r="B29" s="1046" t="s">
        <v>761</v>
      </c>
      <c r="C29" s="1046"/>
      <c r="D29" s="552">
        <v>70</v>
      </c>
      <c r="E29" s="551"/>
      <c r="F29" s="11"/>
    </row>
    <row r="30" spans="1:6" ht="21.75" customHeight="1">
      <c r="A30" s="548">
        <v>3</v>
      </c>
      <c r="B30" s="1039" t="s">
        <v>373</v>
      </c>
      <c r="C30" s="1040"/>
      <c r="D30" s="549">
        <f>D31</f>
        <v>60</v>
      </c>
      <c r="E30" s="551"/>
      <c r="F30" s="551">
        <f>F31</f>
        <v>60</v>
      </c>
    </row>
    <row r="31" spans="1:6" ht="27" customHeight="1">
      <c r="A31" s="548"/>
      <c r="B31" s="1033" t="s">
        <v>694</v>
      </c>
      <c r="C31" s="1034"/>
      <c r="D31" s="552">
        <v>60</v>
      </c>
      <c r="E31" s="551"/>
      <c r="F31" s="11">
        <f>D31</f>
        <v>60</v>
      </c>
    </row>
    <row r="32" spans="1:6" ht="28.5" customHeight="1">
      <c r="A32" s="548">
        <v>4</v>
      </c>
      <c r="B32" s="1043" t="s">
        <v>263</v>
      </c>
      <c r="C32" s="1044"/>
      <c r="D32" s="549">
        <f>D33</f>
        <v>100</v>
      </c>
      <c r="E32" s="551"/>
      <c r="F32" s="551">
        <f>F33</f>
        <v>100</v>
      </c>
    </row>
    <row r="33" spans="1:6" ht="38.25" customHeight="1">
      <c r="A33" s="548"/>
      <c r="B33" s="1033" t="s">
        <v>238</v>
      </c>
      <c r="C33" s="1034"/>
      <c r="D33" s="552">
        <v>100</v>
      </c>
      <c r="E33" s="551"/>
      <c r="F33" s="11">
        <f>D33</f>
        <v>100</v>
      </c>
    </row>
    <row r="34" spans="1:6" s="542" customFormat="1" ht="21" customHeight="1">
      <c r="A34" s="548">
        <v>5</v>
      </c>
      <c r="B34" s="1039" t="s">
        <v>762</v>
      </c>
      <c r="C34" s="1040"/>
      <c r="D34" s="549">
        <f>D35</f>
        <v>70</v>
      </c>
      <c r="E34" s="551"/>
      <c r="F34" s="551"/>
    </row>
    <row r="35" spans="1:6" ht="51" customHeight="1">
      <c r="A35" s="548"/>
      <c r="B35" s="1033" t="s">
        <v>763</v>
      </c>
      <c r="C35" s="1034"/>
      <c r="D35" s="552">
        <v>70</v>
      </c>
      <c r="E35" s="551"/>
      <c r="F35" s="11"/>
    </row>
    <row r="36" spans="1:6" s="542" customFormat="1" ht="21" customHeight="1">
      <c r="A36" s="548">
        <v>6</v>
      </c>
      <c r="B36" s="1039" t="s">
        <v>371</v>
      </c>
      <c r="C36" s="1040"/>
      <c r="D36" s="549">
        <f>D37</f>
        <v>17</v>
      </c>
      <c r="E36" s="551"/>
      <c r="F36" s="551"/>
    </row>
    <row r="37" spans="1:6" ht="27.75" customHeight="1">
      <c r="A37" s="548"/>
      <c r="B37" s="1033" t="s">
        <v>764</v>
      </c>
      <c r="C37" s="1034"/>
      <c r="D37" s="552">
        <v>17</v>
      </c>
      <c r="E37" s="551"/>
      <c r="F37" s="11"/>
    </row>
    <row r="38" spans="1:6" s="18" customFormat="1" ht="21.75" customHeight="1">
      <c r="A38" s="358" t="s">
        <v>271</v>
      </c>
      <c r="B38" s="1037" t="s">
        <v>76</v>
      </c>
      <c r="C38" s="1038"/>
      <c r="D38" s="553">
        <f>D39+D42+D44+D47+D51+D53</f>
        <v>8060</v>
      </c>
      <c r="E38" s="554" t="e">
        <f>E39+E42+E44+E47+E51+#REF!</f>
        <v>#REF!</v>
      </c>
      <c r="F38" s="554" t="e">
        <f>F39+F42+F44+F47+F51+#REF!</f>
        <v>#REF!</v>
      </c>
    </row>
    <row r="39" spans="1:6" s="21" customFormat="1" ht="21.75" customHeight="1">
      <c r="A39" s="358">
        <v>1</v>
      </c>
      <c r="B39" s="1037" t="s">
        <v>765</v>
      </c>
      <c r="C39" s="1038"/>
      <c r="D39" s="99">
        <f>D40+D41</f>
        <v>3800</v>
      </c>
      <c r="E39" s="719">
        <f>E40+E41</f>
        <v>0</v>
      </c>
      <c r="F39" s="719">
        <f>F40+F41</f>
        <v>3800</v>
      </c>
    </row>
    <row r="40" spans="1:6" s="18" customFormat="1" ht="21" customHeight="1">
      <c r="A40" s="358"/>
      <c r="B40" s="1035" t="s">
        <v>832</v>
      </c>
      <c r="C40" s="1036"/>
      <c r="D40" s="100">
        <v>2000</v>
      </c>
      <c r="E40" s="380"/>
      <c r="F40" s="555">
        <f>D40-E40</f>
        <v>2000</v>
      </c>
    </row>
    <row r="41" spans="1:6" s="18" customFormat="1" ht="21" customHeight="1">
      <c r="A41" s="358"/>
      <c r="B41" s="1035" t="s">
        <v>320</v>
      </c>
      <c r="C41" s="1036"/>
      <c r="D41" s="100">
        <v>1800</v>
      </c>
      <c r="E41" s="380"/>
      <c r="F41" s="555">
        <f>D41-E41</f>
        <v>1800</v>
      </c>
    </row>
    <row r="42" spans="1:6" s="21" customFormat="1" ht="21.75" customHeight="1">
      <c r="A42" s="358">
        <v>2</v>
      </c>
      <c r="B42" s="1037" t="s">
        <v>556</v>
      </c>
      <c r="C42" s="1038"/>
      <c r="D42" s="99">
        <f>D43</f>
        <v>400</v>
      </c>
      <c r="E42" s="720"/>
      <c r="F42" s="721">
        <f>D42-E42</f>
        <v>400</v>
      </c>
    </row>
    <row r="43" spans="1:6" s="18" customFormat="1" ht="19.5" customHeight="1">
      <c r="A43" s="358"/>
      <c r="B43" s="1035" t="s">
        <v>655</v>
      </c>
      <c r="C43" s="1036"/>
      <c r="D43" s="100">
        <v>400</v>
      </c>
      <c r="E43" s="380"/>
      <c r="F43" s="722">
        <f>D43-E43</f>
        <v>400</v>
      </c>
    </row>
    <row r="44" spans="1:6" s="21" customFormat="1" ht="21.75" customHeight="1">
      <c r="A44" s="358">
        <v>3</v>
      </c>
      <c r="B44" s="1037" t="s">
        <v>357</v>
      </c>
      <c r="C44" s="1038"/>
      <c r="D44" s="99">
        <f>D45+D46</f>
        <v>2360</v>
      </c>
      <c r="E44" s="719" t="e">
        <f>E45+#REF!+E46</f>
        <v>#REF!</v>
      </c>
      <c r="F44" s="719" t="e">
        <f>F45+#REF!+F46</f>
        <v>#REF!</v>
      </c>
    </row>
    <row r="45" spans="1:6" s="18" customFormat="1" ht="20.25" customHeight="1">
      <c r="A45" s="358"/>
      <c r="B45" s="1035" t="s">
        <v>321</v>
      </c>
      <c r="C45" s="1036"/>
      <c r="D45" s="100">
        <v>60</v>
      </c>
      <c r="E45" s="380"/>
      <c r="F45" s="722">
        <f>D45-E45</f>
        <v>60</v>
      </c>
    </row>
    <row r="46" spans="1:6" s="18" customFormat="1" ht="21.75" customHeight="1">
      <c r="A46" s="358"/>
      <c r="B46" s="1035" t="s">
        <v>531</v>
      </c>
      <c r="C46" s="1036"/>
      <c r="D46" s="100">
        <v>2300</v>
      </c>
      <c r="E46" s="380"/>
      <c r="F46" s="722">
        <f>D46-E46</f>
        <v>2300</v>
      </c>
    </row>
    <row r="47" spans="1:6" s="21" customFormat="1" ht="21.75" customHeight="1">
      <c r="A47" s="358">
        <v>4</v>
      </c>
      <c r="B47" s="1037" t="s">
        <v>351</v>
      </c>
      <c r="C47" s="1038"/>
      <c r="D47" s="99">
        <f>D48+D49+D50</f>
        <v>1300</v>
      </c>
      <c r="E47" s="720"/>
      <c r="F47" s="721">
        <f>D47-E47</f>
        <v>1300</v>
      </c>
    </row>
    <row r="48" spans="1:6" s="18" customFormat="1" ht="21" customHeight="1">
      <c r="A48" s="358"/>
      <c r="B48" s="1035" t="s">
        <v>322</v>
      </c>
      <c r="C48" s="1036"/>
      <c r="D48" s="723">
        <v>200</v>
      </c>
      <c r="E48" s="380"/>
      <c r="F48" s="722">
        <v>200</v>
      </c>
    </row>
    <row r="49" spans="1:6" s="18" customFormat="1" ht="21" customHeight="1">
      <c r="A49" s="358"/>
      <c r="B49" s="1035" t="s">
        <v>196</v>
      </c>
      <c r="C49" s="1036"/>
      <c r="D49" s="723">
        <v>100</v>
      </c>
      <c r="E49" s="380"/>
      <c r="F49" s="722">
        <v>100</v>
      </c>
    </row>
    <row r="50" spans="1:6" s="18" customFormat="1" ht="21" customHeight="1">
      <c r="A50" s="358"/>
      <c r="B50" s="1035" t="s">
        <v>767</v>
      </c>
      <c r="C50" s="1036"/>
      <c r="D50" s="723">
        <v>1000</v>
      </c>
      <c r="E50" s="380"/>
      <c r="F50" s="722"/>
    </row>
    <row r="51" spans="1:6" s="21" customFormat="1" ht="21.75" customHeight="1">
      <c r="A51" s="358">
        <v>5</v>
      </c>
      <c r="B51" s="1037" t="s">
        <v>79</v>
      </c>
      <c r="C51" s="1038"/>
      <c r="D51" s="99">
        <f>D52</f>
        <v>100</v>
      </c>
      <c r="E51" s="720"/>
      <c r="F51" s="721">
        <f>D51-E51</f>
        <v>100</v>
      </c>
    </row>
    <row r="52" spans="1:6" s="18" customFormat="1" ht="33.75" customHeight="1">
      <c r="A52" s="358"/>
      <c r="B52" s="1035" t="s">
        <v>323</v>
      </c>
      <c r="C52" s="1036"/>
      <c r="D52" s="100">
        <v>100</v>
      </c>
      <c r="E52" s="380"/>
      <c r="F52" s="722">
        <f>D52-E52</f>
        <v>100</v>
      </c>
    </row>
    <row r="53" spans="1:6" s="21" customFormat="1" ht="21.75" customHeight="1">
      <c r="A53" s="358">
        <v>6</v>
      </c>
      <c r="B53" s="1037" t="s">
        <v>766</v>
      </c>
      <c r="C53" s="1038"/>
      <c r="D53" s="99">
        <f>D54</f>
        <v>100</v>
      </c>
      <c r="E53" s="720"/>
      <c r="F53" s="724"/>
    </row>
    <row r="54" spans="1:6" s="18" customFormat="1" ht="23.25" customHeight="1">
      <c r="A54" s="358"/>
      <c r="B54" s="1035" t="s">
        <v>80</v>
      </c>
      <c r="C54" s="1036"/>
      <c r="D54" s="100">
        <v>100</v>
      </c>
      <c r="E54" s="380"/>
      <c r="F54" s="722"/>
    </row>
    <row r="55" spans="1:6" s="18" customFormat="1" ht="19.5" customHeight="1">
      <c r="A55" s="358" t="s">
        <v>340</v>
      </c>
      <c r="B55" s="1037" t="s">
        <v>663</v>
      </c>
      <c r="C55" s="1038"/>
      <c r="D55" s="553">
        <f>SUM(D56:D59)</f>
        <v>1891</v>
      </c>
      <c r="E55" s="380"/>
      <c r="F55" s="554">
        <f>D55-E55</f>
        <v>1891</v>
      </c>
    </row>
    <row r="56" spans="1:6" s="18" customFormat="1" ht="27" customHeight="1">
      <c r="A56" s="358">
        <v>1</v>
      </c>
      <c r="B56" s="380" t="s">
        <v>486</v>
      </c>
      <c r="C56" s="380"/>
      <c r="D56" s="556">
        <v>171</v>
      </c>
      <c r="E56" s="380"/>
      <c r="F56" s="555">
        <f>D56-E56</f>
        <v>171</v>
      </c>
    </row>
    <row r="57" spans="1:7" s="18" customFormat="1" ht="33.75" customHeight="1">
      <c r="A57" s="358">
        <v>2</v>
      </c>
      <c r="B57" s="1033" t="s">
        <v>239</v>
      </c>
      <c r="C57" s="1034"/>
      <c r="D57" s="552">
        <v>770</v>
      </c>
      <c r="G57" s="65"/>
    </row>
    <row r="58" spans="1:4" s="18" customFormat="1" ht="33.75" customHeight="1">
      <c r="A58" s="358">
        <v>3</v>
      </c>
      <c r="B58" s="1033" t="s">
        <v>833</v>
      </c>
      <c r="C58" s="1034"/>
      <c r="D58" s="552">
        <v>650</v>
      </c>
    </row>
    <row r="59" spans="1:4" s="18" customFormat="1" ht="33.75" customHeight="1">
      <c r="A59" s="358">
        <v>4</v>
      </c>
      <c r="B59" s="1033" t="s">
        <v>664</v>
      </c>
      <c r="C59" s="1034"/>
      <c r="D59" s="552">
        <v>300</v>
      </c>
    </row>
  </sheetData>
  <sheetProtection/>
  <mergeCells count="54">
    <mergeCell ref="B58:C58"/>
    <mergeCell ref="B57:C57"/>
    <mergeCell ref="B41:C41"/>
    <mergeCell ref="B11:C11"/>
    <mergeCell ref="B42:C42"/>
    <mergeCell ref="B32:C32"/>
    <mergeCell ref="B44:C44"/>
    <mergeCell ref="B52:C52"/>
    <mergeCell ref="B45:C45"/>
    <mergeCell ref="B25:C25"/>
    <mergeCell ref="B55:C55"/>
    <mergeCell ref="B54:C54"/>
    <mergeCell ref="B43:C43"/>
    <mergeCell ref="B46:C46"/>
    <mergeCell ref="B53:C53"/>
    <mergeCell ref="B34:C34"/>
    <mergeCell ref="A5:F5"/>
    <mergeCell ref="A4:D4"/>
    <mergeCell ref="B8:C8"/>
    <mergeCell ref="A9:C9"/>
    <mergeCell ref="B35:C35"/>
    <mergeCell ref="B36:C36"/>
    <mergeCell ref="A6:F6"/>
    <mergeCell ref="B21:C21"/>
    <mergeCell ref="B33:C33"/>
    <mergeCell ref="B12:C12"/>
    <mergeCell ref="E7:F7"/>
    <mergeCell ref="B13:C13"/>
    <mergeCell ref="B15:C15"/>
    <mergeCell ref="B17:C17"/>
    <mergeCell ref="B49:C49"/>
    <mergeCell ref="B47:C47"/>
    <mergeCell ref="B26:C26"/>
    <mergeCell ref="B28:C28"/>
    <mergeCell ref="B29:C29"/>
    <mergeCell ref="B20:C20"/>
    <mergeCell ref="B14:C14"/>
    <mergeCell ref="B27:C27"/>
    <mergeCell ref="B16:C16"/>
    <mergeCell ref="B18:C18"/>
    <mergeCell ref="B23:C23"/>
    <mergeCell ref="B24:C24"/>
    <mergeCell ref="B22:C22"/>
    <mergeCell ref="B19:C19"/>
    <mergeCell ref="B59:C59"/>
    <mergeCell ref="B40:C40"/>
    <mergeCell ref="B38:C38"/>
    <mergeCell ref="B39:C39"/>
    <mergeCell ref="B31:C31"/>
    <mergeCell ref="B30:C30"/>
    <mergeCell ref="B51:C51"/>
    <mergeCell ref="B48:C48"/>
    <mergeCell ref="B37:C37"/>
    <mergeCell ref="B50:C50"/>
  </mergeCells>
  <printOptions/>
  <pageMargins left="0.5511811023622047" right="0.2362204724409449" top="0.5905511811023623" bottom="0.3937007874015748" header="0.5118110236220472" footer="0.2755905511811024"/>
  <pageSetup horizontalDpi="600" verticalDpi="600" orientation="portrait" paperSize="9" scale="90" r:id="rId2"/>
  <headerFooter alignWithMargins="0">
    <oddFooter>&amp;CPage &amp;P</oddFooter>
  </headerFooter>
  <drawing r:id="rId1"/>
</worksheet>
</file>

<file path=xl/worksheets/sheet13.xml><?xml version="1.0" encoding="utf-8"?>
<worksheet xmlns="http://schemas.openxmlformats.org/spreadsheetml/2006/main" xmlns:r="http://schemas.openxmlformats.org/officeDocument/2006/relationships">
  <sheetPr>
    <tabColor rgb="FF0070C0"/>
  </sheetPr>
  <dimension ref="A1:I46"/>
  <sheetViews>
    <sheetView zoomScalePageLayoutView="0" workbookViewId="0" topLeftCell="A1">
      <selection activeCell="A6" sqref="A6:I6"/>
    </sheetView>
  </sheetViews>
  <sheetFormatPr defaultColWidth="15.7109375" defaultRowHeight="12.75"/>
  <cols>
    <col min="1" max="1" width="5.00390625" style="29" customWidth="1"/>
    <col min="2" max="2" width="37.140625" style="27" customWidth="1"/>
    <col min="3" max="3" width="6.57421875" style="79" hidden="1" customWidth="1"/>
    <col min="4" max="4" width="9.140625" style="79" hidden="1" customWidth="1"/>
    <col min="5" max="5" width="6.28125" style="80" hidden="1" customWidth="1"/>
    <col min="6" max="6" width="7.140625" style="80" hidden="1" customWidth="1"/>
    <col min="7" max="8" width="17.7109375" style="25" customWidth="1"/>
    <col min="9" max="9" width="16.28125" style="25" customWidth="1"/>
    <col min="10" max="16384" width="15.7109375" style="25" customWidth="1"/>
  </cols>
  <sheetData>
    <row r="1" spans="1:5" ht="16.5">
      <c r="A1" s="24" t="s">
        <v>852</v>
      </c>
      <c r="B1" s="25"/>
      <c r="E1" s="79"/>
    </row>
    <row r="2" spans="1:5" ht="16.5">
      <c r="A2" s="24" t="s">
        <v>851</v>
      </c>
      <c r="B2" s="25"/>
      <c r="E2" s="79"/>
    </row>
    <row r="3" spans="1:9" ht="14.25" customHeight="1">
      <c r="A3" s="26"/>
      <c r="C3" s="80"/>
      <c r="D3" s="80"/>
      <c r="G3" s="28"/>
      <c r="H3" s="28"/>
      <c r="I3" s="28"/>
    </row>
    <row r="4" spans="1:9" ht="18" customHeight="1">
      <c r="A4" s="945" t="s">
        <v>417</v>
      </c>
      <c r="B4" s="945"/>
      <c r="C4" s="945"/>
      <c r="D4" s="945"/>
      <c r="E4" s="945"/>
      <c r="F4" s="945"/>
      <c r="G4" s="945"/>
      <c r="H4" s="945"/>
      <c r="I4" s="945"/>
    </row>
    <row r="5" spans="1:9" ht="19.5" customHeight="1">
      <c r="A5" s="890" t="s">
        <v>849</v>
      </c>
      <c r="B5" s="890"/>
      <c r="C5" s="890"/>
      <c r="D5" s="890"/>
      <c r="E5" s="890"/>
      <c r="F5" s="890"/>
      <c r="G5" s="890"/>
      <c r="H5" s="890"/>
      <c r="I5" s="890"/>
    </row>
    <row r="6" spans="1:9" ht="17.25" customHeight="1">
      <c r="A6" s="1054" t="s">
        <v>853</v>
      </c>
      <c r="B6" s="1054"/>
      <c r="C6" s="1054"/>
      <c r="D6" s="1054"/>
      <c r="E6" s="1054"/>
      <c r="F6" s="1054"/>
      <c r="G6" s="1054"/>
      <c r="H6" s="1054"/>
      <c r="I6" s="1054"/>
    </row>
    <row r="7" spans="8:9" ht="15.75" customHeight="1">
      <c r="H7" s="1060" t="s">
        <v>707</v>
      </c>
      <c r="I7" s="1060"/>
    </row>
    <row r="8" spans="1:9" ht="24" customHeight="1">
      <c r="A8" s="1057" t="s">
        <v>266</v>
      </c>
      <c r="B8" s="1058" t="s">
        <v>209</v>
      </c>
      <c r="C8" s="81"/>
      <c r="D8" s="81"/>
      <c r="E8" s="82"/>
      <c r="F8" s="82"/>
      <c r="G8" s="1059" t="s">
        <v>620</v>
      </c>
      <c r="H8" s="1055" t="s">
        <v>350</v>
      </c>
      <c r="I8" s="1056"/>
    </row>
    <row r="9" spans="1:9" ht="62.25" customHeight="1">
      <c r="A9" s="1057"/>
      <c r="B9" s="1058"/>
      <c r="C9" s="83" t="s">
        <v>211</v>
      </c>
      <c r="D9" s="83" t="s">
        <v>212</v>
      </c>
      <c r="E9" s="84" t="s">
        <v>213</v>
      </c>
      <c r="F9" s="84" t="s">
        <v>214</v>
      </c>
      <c r="G9" s="1059"/>
      <c r="H9" s="6" t="s">
        <v>215</v>
      </c>
      <c r="I9" s="6" t="s">
        <v>216</v>
      </c>
    </row>
    <row r="10" spans="1:9" s="32" customFormat="1" ht="29.25" customHeight="1">
      <c r="A10" s="30"/>
      <c r="B10" s="31" t="s">
        <v>665</v>
      </c>
      <c r="C10" s="85"/>
      <c r="D10" s="85"/>
      <c r="E10" s="85"/>
      <c r="F10" s="85"/>
      <c r="G10" s="10">
        <f>G11+G44</f>
        <v>10325</v>
      </c>
      <c r="H10" s="10">
        <f>H11+H44</f>
        <v>6195.000000000001</v>
      </c>
      <c r="I10" s="10">
        <f>I11+I44</f>
        <v>4130</v>
      </c>
    </row>
    <row r="11" spans="1:9" s="33" customFormat="1" ht="30" customHeight="1">
      <c r="A11" s="12" t="s">
        <v>267</v>
      </c>
      <c r="B11" s="44" t="s">
        <v>5</v>
      </c>
      <c r="C11" s="85"/>
      <c r="D11" s="85"/>
      <c r="E11" s="85"/>
      <c r="F11" s="85"/>
      <c r="G11" s="10">
        <f>G12+G42</f>
        <v>10125</v>
      </c>
      <c r="H11" s="10">
        <f>H12+H42</f>
        <v>6075.000000000001</v>
      </c>
      <c r="I11" s="10">
        <f>I12+I42</f>
        <v>4050.0000000000005</v>
      </c>
    </row>
    <row r="12" spans="1:9" s="32" customFormat="1" ht="21.75" customHeight="1">
      <c r="A12" s="30" t="s">
        <v>268</v>
      </c>
      <c r="B12" s="31" t="s">
        <v>422</v>
      </c>
      <c r="C12" s="86"/>
      <c r="D12" s="86"/>
      <c r="E12" s="87"/>
      <c r="F12" s="87"/>
      <c r="G12" s="10">
        <f>G13+G31</f>
        <v>9909</v>
      </c>
      <c r="H12" s="10">
        <f>H13+H31</f>
        <v>5945.400000000001</v>
      </c>
      <c r="I12" s="10">
        <f>I13+I31</f>
        <v>3963.6000000000004</v>
      </c>
    </row>
    <row r="13" spans="1:9" s="32" customFormat="1" ht="21.75" customHeight="1">
      <c r="A13" s="5" t="s">
        <v>235</v>
      </c>
      <c r="B13" s="13" t="s">
        <v>563</v>
      </c>
      <c r="C13" s="88">
        <f>SUM(C14:C30)</f>
        <v>0</v>
      </c>
      <c r="D13" s="88">
        <f>SUM(D14:D30)</f>
        <v>5755</v>
      </c>
      <c r="E13" s="88"/>
      <c r="F13" s="88"/>
      <c r="G13" s="275">
        <f>SUM(G14:G30)</f>
        <v>4839</v>
      </c>
      <c r="H13" s="275">
        <f>SUM(H14:H30)</f>
        <v>2903.4000000000005</v>
      </c>
      <c r="I13" s="275">
        <f>SUM(I14:I30)</f>
        <v>1935.6000000000004</v>
      </c>
    </row>
    <row r="14" spans="1:9" s="23" customFormat="1" ht="21.75" customHeight="1">
      <c r="A14" s="4">
        <v>1</v>
      </c>
      <c r="B14" s="198" t="s">
        <v>218</v>
      </c>
      <c r="C14" s="199"/>
      <c r="D14" s="200">
        <v>225</v>
      </c>
      <c r="E14" s="200">
        <v>120</v>
      </c>
      <c r="F14" s="90">
        <v>9</v>
      </c>
      <c r="G14" s="212">
        <v>216</v>
      </c>
      <c r="H14" s="212">
        <f>G14*60%</f>
        <v>129.6</v>
      </c>
      <c r="I14" s="212">
        <f>G14-H14</f>
        <v>86.4</v>
      </c>
    </row>
    <row r="15" spans="1:9" s="35" customFormat="1" ht="21.75" customHeight="1">
      <c r="A15" s="34">
        <v>2</v>
      </c>
      <c r="B15" s="201" t="s">
        <v>219</v>
      </c>
      <c r="C15" s="91"/>
      <c r="D15" s="200">
        <v>380</v>
      </c>
      <c r="E15" s="200">
        <v>120</v>
      </c>
      <c r="F15" s="89">
        <v>9</v>
      </c>
      <c r="G15" s="212">
        <v>356</v>
      </c>
      <c r="H15" s="212">
        <f aca="true" t="shared" si="0" ref="H15:H41">G15*60%</f>
        <v>213.6</v>
      </c>
      <c r="I15" s="212">
        <f aca="true" t="shared" si="1" ref="I15:I41">G15-H15</f>
        <v>142.4</v>
      </c>
    </row>
    <row r="16" spans="1:9" s="35" customFormat="1" ht="21.75" customHeight="1">
      <c r="A16" s="4">
        <v>3</v>
      </c>
      <c r="B16" s="201" t="s">
        <v>708</v>
      </c>
      <c r="C16" s="202"/>
      <c r="D16" s="200">
        <v>375</v>
      </c>
      <c r="E16" s="200">
        <v>25</v>
      </c>
      <c r="F16" s="89">
        <v>9</v>
      </c>
      <c r="G16" s="212">
        <v>78</v>
      </c>
      <c r="H16" s="212">
        <f t="shared" si="0"/>
        <v>46.8</v>
      </c>
      <c r="I16" s="212">
        <f t="shared" si="1"/>
        <v>31.200000000000003</v>
      </c>
    </row>
    <row r="17" spans="1:9" s="35" customFormat="1" ht="21.75" customHeight="1">
      <c r="A17" s="34">
        <v>4</v>
      </c>
      <c r="B17" s="203" t="s">
        <v>709</v>
      </c>
      <c r="C17" s="204"/>
      <c r="D17" s="205">
        <v>200</v>
      </c>
      <c r="E17" s="206">
        <v>25</v>
      </c>
      <c r="F17" s="89">
        <v>9</v>
      </c>
      <c r="G17" s="212">
        <v>45</v>
      </c>
      <c r="H17" s="212">
        <f t="shared" si="0"/>
        <v>27</v>
      </c>
      <c r="I17" s="212">
        <f t="shared" si="1"/>
        <v>18</v>
      </c>
    </row>
    <row r="18" spans="1:9" s="35" customFormat="1" ht="21.75" customHeight="1">
      <c r="A18" s="4">
        <v>5</v>
      </c>
      <c r="B18" s="201" t="s">
        <v>710</v>
      </c>
      <c r="C18" s="202"/>
      <c r="D18" s="200">
        <v>430</v>
      </c>
      <c r="E18" s="200">
        <v>120</v>
      </c>
      <c r="F18" s="89">
        <v>9</v>
      </c>
      <c r="G18" s="212">
        <v>464</v>
      </c>
      <c r="H18" s="212">
        <f t="shared" si="0"/>
        <v>278.4</v>
      </c>
      <c r="I18" s="212">
        <f t="shared" si="1"/>
        <v>185.60000000000002</v>
      </c>
    </row>
    <row r="19" spans="1:9" s="35" customFormat="1" ht="21.75" customHeight="1">
      <c r="A19" s="34">
        <v>6</v>
      </c>
      <c r="B19" s="201" t="s">
        <v>711</v>
      </c>
      <c r="C19" s="202"/>
      <c r="D19" s="200">
        <v>210</v>
      </c>
      <c r="E19" s="200">
        <v>120</v>
      </c>
      <c r="F19" s="89">
        <v>9</v>
      </c>
      <c r="G19" s="212">
        <v>205</v>
      </c>
      <c r="H19" s="212">
        <f t="shared" si="0"/>
        <v>123</v>
      </c>
      <c r="I19" s="212">
        <f t="shared" si="1"/>
        <v>82</v>
      </c>
    </row>
    <row r="20" spans="1:9" s="35" customFormat="1" ht="21.75" customHeight="1">
      <c r="A20" s="4">
        <v>7</v>
      </c>
      <c r="B20" s="201" t="s">
        <v>718</v>
      </c>
      <c r="C20" s="202"/>
      <c r="D20" s="200">
        <v>427</v>
      </c>
      <c r="E20" s="207">
        <v>25</v>
      </c>
      <c r="F20" s="89">
        <v>9</v>
      </c>
      <c r="G20" s="212">
        <v>90</v>
      </c>
      <c r="H20" s="212">
        <f t="shared" si="0"/>
        <v>54</v>
      </c>
      <c r="I20" s="212">
        <f t="shared" si="1"/>
        <v>36</v>
      </c>
    </row>
    <row r="21" spans="1:9" s="35" customFormat="1" ht="21.75" customHeight="1">
      <c r="A21" s="34">
        <v>8</v>
      </c>
      <c r="B21" s="201" t="s">
        <v>712</v>
      </c>
      <c r="C21" s="202"/>
      <c r="D21" s="200">
        <v>290</v>
      </c>
      <c r="E21" s="200">
        <v>120</v>
      </c>
      <c r="F21" s="89">
        <v>9</v>
      </c>
      <c r="G21" s="212">
        <v>297</v>
      </c>
      <c r="H21" s="212">
        <f t="shared" si="0"/>
        <v>178.2</v>
      </c>
      <c r="I21" s="212">
        <f t="shared" si="1"/>
        <v>118.80000000000001</v>
      </c>
    </row>
    <row r="22" spans="1:9" s="35" customFormat="1" ht="21.75" customHeight="1">
      <c r="A22" s="4">
        <v>9</v>
      </c>
      <c r="B22" s="201" t="s">
        <v>717</v>
      </c>
      <c r="C22" s="202"/>
      <c r="D22" s="200">
        <v>525</v>
      </c>
      <c r="E22" s="200">
        <v>120</v>
      </c>
      <c r="F22" s="89">
        <v>9</v>
      </c>
      <c r="G22" s="212">
        <v>529</v>
      </c>
      <c r="H22" s="212">
        <f t="shared" si="0"/>
        <v>317.4</v>
      </c>
      <c r="I22" s="212">
        <f t="shared" si="1"/>
        <v>211.60000000000002</v>
      </c>
    </row>
    <row r="23" spans="1:9" s="35" customFormat="1" ht="21.75" customHeight="1">
      <c r="A23" s="34">
        <v>10</v>
      </c>
      <c r="B23" s="201" t="s">
        <v>716</v>
      </c>
      <c r="C23" s="202"/>
      <c r="D23" s="200">
        <v>360</v>
      </c>
      <c r="E23" s="200">
        <v>120</v>
      </c>
      <c r="F23" s="89">
        <v>9</v>
      </c>
      <c r="G23" s="212">
        <v>319</v>
      </c>
      <c r="H23" s="212">
        <f t="shared" si="0"/>
        <v>191.4</v>
      </c>
      <c r="I23" s="212">
        <f t="shared" si="1"/>
        <v>127.6</v>
      </c>
    </row>
    <row r="24" spans="1:9" s="35" customFormat="1" ht="21.75" customHeight="1">
      <c r="A24" s="4">
        <v>11</v>
      </c>
      <c r="B24" s="201" t="s">
        <v>715</v>
      </c>
      <c r="C24" s="202"/>
      <c r="D24" s="200">
        <v>330</v>
      </c>
      <c r="E24" s="200">
        <v>120</v>
      </c>
      <c r="F24" s="89">
        <v>9</v>
      </c>
      <c r="G24" s="212">
        <v>356</v>
      </c>
      <c r="H24" s="212">
        <f t="shared" si="0"/>
        <v>213.6</v>
      </c>
      <c r="I24" s="212">
        <f t="shared" si="1"/>
        <v>142.4</v>
      </c>
    </row>
    <row r="25" spans="1:9" s="35" customFormat="1" ht="21.75" customHeight="1">
      <c r="A25" s="34">
        <v>12</v>
      </c>
      <c r="B25" s="201" t="s">
        <v>220</v>
      </c>
      <c r="C25" s="202"/>
      <c r="D25" s="200">
        <v>460</v>
      </c>
      <c r="E25" s="200">
        <v>120</v>
      </c>
      <c r="F25" s="89">
        <v>9</v>
      </c>
      <c r="G25" s="212">
        <v>454</v>
      </c>
      <c r="H25" s="212">
        <f t="shared" si="0"/>
        <v>272.4</v>
      </c>
      <c r="I25" s="212">
        <f t="shared" si="1"/>
        <v>181.60000000000002</v>
      </c>
    </row>
    <row r="26" spans="1:9" s="35" customFormat="1" ht="21.75" customHeight="1">
      <c r="A26" s="4">
        <v>13</v>
      </c>
      <c r="B26" s="201" t="s">
        <v>221</v>
      </c>
      <c r="C26" s="202"/>
      <c r="D26" s="200">
        <v>193</v>
      </c>
      <c r="E26" s="200">
        <v>120</v>
      </c>
      <c r="F26" s="89">
        <v>9</v>
      </c>
      <c r="G26" s="212">
        <v>213</v>
      </c>
      <c r="H26" s="212">
        <f t="shared" si="0"/>
        <v>127.8</v>
      </c>
      <c r="I26" s="212">
        <f t="shared" si="1"/>
        <v>85.2</v>
      </c>
    </row>
    <row r="27" spans="1:9" s="35" customFormat="1" ht="21.75" customHeight="1">
      <c r="A27" s="34">
        <v>14</v>
      </c>
      <c r="B27" s="201" t="s">
        <v>222</v>
      </c>
      <c r="C27" s="202"/>
      <c r="D27" s="200">
        <v>495</v>
      </c>
      <c r="E27" s="200">
        <v>120</v>
      </c>
      <c r="F27" s="89">
        <v>9</v>
      </c>
      <c r="G27" s="212">
        <v>488</v>
      </c>
      <c r="H27" s="212">
        <f t="shared" si="0"/>
        <v>292.8</v>
      </c>
      <c r="I27" s="212">
        <f t="shared" si="1"/>
        <v>195.2</v>
      </c>
    </row>
    <row r="28" spans="1:9" s="35" customFormat="1" ht="21.75" customHeight="1">
      <c r="A28" s="4">
        <v>15</v>
      </c>
      <c r="B28" s="201" t="s">
        <v>223</v>
      </c>
      <c r="C28" s="202"/>
      <c r="D28" s="200">
        <v>275</v>
      </c>
      <c r="E28" s="200">
        <v>120</v>
      </c>
      <c r="F28" s="89">
        <v>9</v>
      </c>
      <c r="G28" s="212">
        <v>275</v>
      </c>
      <c r="H28" s="212">
        <f t="shared" si="0"/>
        <v>165</v>
      </c>
      <c r="I28" s="212">
        <f t="shared" si="1"/>
        <v>110</v>
      </c>
    </row>
    <row r="29" spans="1:9" s="35" customFormat="1" ht="21.75" customHeight="1">
      <c r="A29" s="34">
        <v>16</v>
      </c>
      <c r="B29" s="201" t="s">
        <v>714</v>
      </c>
      <c r="C29" s="202"/>
      <c r="D29" s="200">
        <v>310</v>
      </c>
      <c r="E29" s="200">
        <v>90</v>
      </c>
      <c r="F29" s="89">
        <v>9</v>
      </c>
      <c r="G29" s="212">
        <v>235</v>
      </c>
      <c r="H29" s="212">
        <f t="shared" si="0"/>
        <v>141</v>
      </c>
      <c r="I29" s="212">
        <f t="shared" si="1"/>
        <v>94</v>
      </c>
    </row>
    <row r="30" spans="1:9" s="35" customFormat="1" ht="21.75" customHeight="1">
      <c r="A30" s="4">
        <v>17</v>
      </c>
      <c r="B30" s="201" t="s">
        <v>713</v>
      </c>
      <c r="C30" s="202"/>
      <c r="D30" s="200">
        <v>270</v>
      </c>
      <c r="E30" s="207">
        <v>90</v>
      </c>
      <c r="F30" s="89">
        <v>9</v>
      </c>
      <c r="G30" s="212">
        <v>219</v>
      </c>
      <c r="H30" s="212">
        <f t="shared" si="0"/>
        <v>131.4</v>
      </c>
      <c r="I30" s="212">
        <f t="shared" si="1"/>
        <v>87.6</v>
      </c>
    </row>
    <row r="31" spans="1:9" s="35" customFormat="1" ht="21.75" customHeight="1">
      <c r="A31" s="5" t="s">
        <v>236</v>
      </c>
      <c r="B31" s="36" t="s">
        <v>300</v>
      </c>
      <c r="C31" s="93">
        <f aca="true" t="shared" si="2" ref="C31:I31">SUM(C32:C41)</f>
        <v>0</v>
      </c>
      <c r="D31" s="93">
        <f t="shared" si="2"/>
        <v>8707</v>
      </c>
      <c r="E31" s="93">
        <f t="shared" si="2"/>
        <v>625</v>
      </c>
      <c r="F31" s="93">
        <f t="shared" si="2"/>
        <v>90</v>
      </c>
      <c r="G31" s="276">
        <f t="shared" si="2"/>
        <v>5070</v>
      </c>
      <c r="H31" s="276">
        <f t="shared" si="2"/>
        <v>3042</v>
      </c>
      <c r="I31" s="276">
        <f t="shared" si="2"/>
        <v>2028.0000000000002</v>
      </c>
    </row>
    <row r="32" spans="1:9" s="35" customFormat="1" ht="21.75" customHeight="1">
      <c r="A32" s="34">
        <v>1</v>
      </c>
      <c r="B32" s="201" t="s">
        <v>301</v>
      </c>
      <c r="C32" s="208"/>
      <c r="D32" s="200">
        <v>591</v>
      </c>
      <c r="E32" s="200">
        <v>20</v>
      </c>
      <c r="F32" s="200">
        <v>9</v>
      </c>
      <c r="G32" s="212">
        <v>112</v>
      </c>
      <c r="H32" s="212">
        <f t="shared" si="0"/>
        <v>67.2</v>
      </c>
      <c r="I32" s="212">
        <f t="shared" si="1"/>
        <v>44.8</v>
      </c>
    </row>
    <row r="33" spans="1:9" s="35" customFormat="1" ht="21.75" customHeight="1">
      <c r="A33" s="34">
        <v>2</v>
      </c>
      <c r="B33" s="201" t="s">
        <v>302</v>
      </c>
      <c r="C33" s="202"/>
      <c r="D33" s="200">
        <v>508</v>
      </c>
      <c r="E33" s="200">
        <v>60</v>
      </c>
      <c r="F33" s="200">
        <v>9</v>
      </c>
      <c r="G33" s="212">
        <v>288</v>
      </c>
      <c r="H33" s="212">
        <f t="shared" si="0"/>
        <v>172.79999999999998</v>
      </c>
      <c r="I33" s="212">
        <f t="shared" si="1"/>
        <v>115.20000000000002</v>
      </c>
    </row>
    <row r="34" spans="1:9" s="35" customFormat="1" ht="21.75" customHeight="1">
      <c r="A34" s="34">
        <v>3</v>
      </c>
      <c r="B34" s="201" t="s">
        <v>303</v>
      </c>
      <c r="C34" s="202"/>
      <c r="D34" s="200">
        <v>1271</v>
      </c>
      <c r="E34" s="200">
        <v>75</v>
      </c>
      <c r="F34" s="200">
        <v>9</v>
      </c>
      <c r="G34" s="212">
        <v>780</v>
      </c>
      <c r="H34" s="212">
        <f t="shared" si="0"/>
        <v>468</v>
      </c>
      <c r="I34" s="212">
        <f t="shared" si="1"/>
        <v>312</v>
      </c>
    </row>
    <row r="35" spans="1:9" s="35" customFormat="1" ht="21.75" customHeight="1">
      <c r="A35" s="34">
        <v>4</v>
      </c>
      <c r="B35" s="201" t="s">
        <v>304</v>
      </c>
      <c r="C35" s="202"/>
      <c r="D35" s="200">
        <v>1052</v>
      </c>
      <c r="E35" s="200">
        <v>75</v>
      </c>
      <c r="F35" s="200">
        <v>9</v>
      </c>
      <c r="G35" s="212">
        <v>736</v>
      </c>
      <c r="H35" s="212">
        <f t="shared" si="0"/>
        <v>441.59999999999997</v>
      </c>
      <c r="I35" s="212">
        <f t="shared" si="1"/>
        <v>294.40000000000003</v>
      </c>
    </row>
    <row r="36" spans="1:9" s="35" customFormat="1" ht="21.75" customHeight="1">
      <c r="A36" s="34">
        <v>5</v>
      </c>
      <c r="B36" s="201" t="s">
        <v>305</v>
      </c>
      <c r="C36" s="202"/>
      <c r="D36" s="200">
        <v>1303</v>
      </c>
      <c r="E36" s="200">
        <v>75</v>
      </c>
      <c r="F36" s="200">
        <v>9</v>
      </c>
      <c r="G36" s="212">
        <v>898</v>
      </c>
      <c r="H36" s="212">
        <f t="shared" si="0"/>
        <v>538.8</v>
      </c>
      <c r="I36" s="212">
        <f t="shared" si="1"/>
        <v>359.20000000000005</v>
      </c>
    </row>
    <row r="37" spans="1:9" s="35" customFormat="1" ht="21.75" customHeight="1">
      <c r="A37" s="34">
        <v>6</v>
      </c>
      <c r="B37" s="201" t="s">
        <v>306</v>
      </c>
      <c r="C37" s="202"/>
      <c r="D37" s="200">
        <v>538</v>
      </c>
      <c r="E37" s="200">
        <v>75</v>
      </c>
      <c r="F37" s="200">
        <v>9</v>
      </c>
      <c r="G37" s="212">
        <v>360</v>
      </c>
      <c r="H37" s="212">
        <f t="shared" si="0"/>
        <v>216</v>
      </c>
      <c r="I37" s="212">
        <f t="shared" si="1"/>
        <v>144</v>
      </c>
    </row>
    <row r="38" spans="1:9" s="35" customFormat="1" ht="21.75" customHeight="1">
      <c r="A38" s="34">
        <v>7</v>
      </c>
      <c r="B38" s="201" t="s">
        <v>307</v>
      </c>
      <c r="C38" s="202"/>
      <c r="D38" s="200">
        <v>665</v>
      </c>
      <c r="E38" s="207">
        <v>20</v>
      </c>
      <c r="F38" s="200">
        <v>9</v>
      </c>
      <c r="G38" s="212">
        <v>114</v>
      </c>
      <c r="H38" s="212">
        <f t="shared" si="0"/>
        <v>68.39999999999999</v>
      </c>
      <c r="I38" s="212">
        <f t="shared" si="1"/>
        <v>45.60000000000001</v>
      </c>
    </row>
    <row r="39" spans="1:9" s="35" customFormat="1" ht="21.75" customHeight="1">
      <c r="A39" s="34">
        <v>8</v>
      </c>
      <c r="B39" s="201" t="s">
        <v>308</v>
      </c>
      <c r="C39" s="202"/>
      <c r="D39" s="200">
        <v>633</v>
      </c>
      <c r="E39" s="200">
        <v>75</v>
      </c>
      <c r="F39" s="200">
        <v>9</v>
      </c>
      <c r="G39" s="212">
        <v>421</v>
      </c>
      <c r="H39" s="212">
        <f t="shared" si="0"/>
        <v>252.6</v>
      </c>
      <c r="I39" s="212">
        <f t="shared" si="1"/>
        <v>168.4</v>
      </c>
    </row>
    <row r="40" spans="1:9" s="35" customFormat="1" ht="21.75" customHeight="1">
      <c r="A40" s="34">
        <v>9</v>
      </c>
      <c r="B40" s="201" t="s">
        <v>309</v>
      </c>
      <c r="C40" s="202"/>
      <c r="D40" s="200">
        <v>1581</v>
      </c>
      <c r="E40" s="200">
        <v>75</v>
      </c>
      <c r="F40" s="200">
        <v>9</v>
      </c>
      <c r="G40" s="212">
        <v>985</v>
      </c>
      <c r="H40" s="212">
        <f t="shared" si="0"/>
        <v>591</v>
      </c>
      <c r="I40" s="212">
        <f t="shared" si="1"/>
        <v>394</v>
      </c>
    </row>
    <row r="41" spans="1:9" s="35" customFormat="1" ht="21.75" customHeight="1">
      <c r="A41" s="34">
        <v>10</v>
      </c>
      <c r="B41" s="201" t="s">
        <v>310</v>
      </c>
      <c r="C41" s="202"/>
      <c r="D41" s="200">
        <v>565</v>
      </c>
      <c r="E41" s="200">
        <v>75</v>
      </c>
      <c r="F41" s="200">
        <v>9</v>
      </c>
      <c r="G41" s="212">
        <v>376</v>
      </c>
      <c r="H41" s="212">
        <f t="shared" si="0"/>
        <v>225.6</v>
      </c>
      <c r="I41" s="212">
        <f t="shared" si="1"/>
        <v>150.4</v>
      </c>
    </row>
    <row r="42" spans="1:9" s="23" customFormat="1" ht="21.75" customHeight="1">
      <c r="A42" s="5" t="s">
        <v>269</v>
      </c>
      <c r="B42" s="31" t="s">
        <v>494</v>
      </c>
      <c r="C42" s="210"/>
      <c r="D42" s="210">
        <f aca="true" t="shared" si="3" ref="D42:I42">D43</f>
        <v>200</v>
      </c>
      <c r="E42" s="210">
        <f t="shared" si="3"/>
        <v>120</v>
      </c>
      <c r="F42" s="211">
        <f t="shared" si="3"/>
        <v>9</v>
      </c>
      <c r="G42" s="277">
        <f t="shared" si="3"/>
        <v>216</v>
      </c>
      <c r="H42" s="277">
        <f t="shared" si="3"/>
        <v>129.6</v>
      </c>
      <c r="I42" s="277">
        <f t="shared" si="3"/>
        <v>86.4</v>
      </c>
    </row>
    <row r="43" spans="1:9" s="35" customFormat="1" ht="21.75" customHeight="1">
      <c r="A43" s="34">
        <v>1</v>
      </c>
      <c r="B43" s="47" t="s">
        <v>4</v>
      </c>
      <c r="C43" s="92"/>
      <c r="D43" s="92">
        <v>200</v>
      </c>
      <c r="E43" s="89">
        <v>120</v>
      </c>
      <c r="F43" s="89">
        <v>9</v>
      </c>
      <c r="G43" s="212">
        <v>216</v>
      </c>
      <c r="H43" s="278">
        <f>G43*60%</f>
        <v>129.6</v>
      </c>
      <c r="I43" s="278">
        <f>G43-H43</f>
        <v>86.4</v>
      </c>
    </row>
    <row r="44" spans="1:9" s="35" customFormat="1" ht="21.75" customHeight="1">
      <c r="A44" s="38" t="s">
        <v>272</v>
      </c>
      <c r="B44" s="39" t="s">
        <v>517</v>
      </c>
      <c r="C44" s="92"/>
      <c r="D44" s="92"/>
      <c r="E44" s="89"/>
      <c r="F44" s="89"/>
      <c r="G44" s="279">
        <f aca="true" t="shared" si="4" ref="G44:I45">G45</f>
        <v>200</v>
      </c>
      <c r="H44" s="279">
        <f t="shared" si="4"/>
        <v>120</v>
      </c>
      <c r="I44" s="279">
        <f t="shared" si="4"/>
        <v>80</v>
      </c>
    </row>
    <row r="45" spans="1:9" s="35" customFormat="1" ht="21.75" customHeight="1">
      <c r="A45" s="38" t="s">
        <v>268</v>
      </c>
      <c r="B45" s="41" t="s">
        <v>57</v>
      </c>
      <c r="C45" s="92"/>
      <c r="D45" s="92"/>
      <c r="E45" s="89"/>
      <c r="F45" s="89"/>
      <c r="G45" s="279">
        <f t="shared" si="4"/>
        <v>200</v>
      </c>
      <c r="H45" s="279">
        <f t="shared" si="4"/>
        <v>120</v>
      </c>
      <c r="I45" s="279">
        <f t="shared" si="4"/>
        <v>80</v>
      </c>
    </row>
    <row r="46" spans="1:9" s="35" customFormat="1" ht="44.25" customHeight="1">
      <c r="A46" s="42">
        <v>1</v>
      </c>
      <c r="B46" s="43" t="s">
        <v>557</v>
      </c>
      <c r="C46" s="92"/>
      <c r="D46" s="92"/>
      <c r="E46" s="89"/>
      <c r="F46" s="89"/>
      <c r="G46" s="278">
        <v>200</v>
      </c>
      <c r="H46" s="278">
        <f>G46*60%</f>
        <v>120</v>
      </c>
      <c r="I46" s="278">
        <f>G46-H46</f>
        <v>80</v>
      </c>
    </row>
  </sheetData>
  <sheetProtection/>
  <mergeCells count="8">
    <mergeCell ref="A4:I4"/>
    <mergeCell ref="A5:I5"/>
    <mergeCell ref="A6:I6"/>
    <mergeCell ref="H8:I8"/>
    <mergeCell ref="A8:A9"/>
    <mergeCell ref="B8:B9"/>
    <mergeCell ref="G8:G9"/>
    <mergeCell ref="H7:I7"/>
  </mergeCells>
  <printOptions/>
  <pageMargins left="0.3937007874015748" right="0.3937007874015748" top="0.5511811023622047" bottom="0.1968503937007874" header="0.15748031496062992" footer="0.1574803149606299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0070C0"/>
  </sheetPr>
  <dimension ref="A1:G45"/>
  <sheetViews>
    <sheetView tabSelected="1" zoomScalePageLayoutView="0" workbookViewId="0" topLeftCell="A1">
      <selection activeCell="A6" sqref="A6:G6"/>
    </sheetView>
  </sheetViews>
  <sheetFormatPr defaultColWidth="15.7109375" defaultRowHeight="12.75"/>
  <cols>
    <col min="1" max="1" width="5.28125" style="216" customWidth="1"/>
    <col min="2" max="2" width="43.28125" style="214" customWidth="1"/>
    <col min="3" max="3" width="10.8515625" style="216" customWidth="1"/>
    <col min="4" max="4" width="10.421875" style="214" customWidth="1"/>
    <col min="5" max="5" width="13.00390625" style="214" customWidth="1"/>
    <col min="6" max="6" width="12.421875" style="214" customWidth="1"/>
    <col min="7" max="7" width="9.28125" style="214" customWidth="1"/>
    <col min="8" max="16384" width="15.7109375" style="214" customWidth="1"/>
  </cols>
  <sheetData>
    <row r="1" spans="1:3" ht="18.75">
      <c r="A1" s="24" t="s">
        <v>852</v>
      </c>
      <c r="B1" s="25"/>
      <c r="C1" s="197"/>
    </row>
    <row r="2" spans="1:3" ht="18.75">
      <c r="A2" s="24" t="s">
        <v>851</v>
      </c>
      <c r="B2" s="24"/>
      <c r="C2" s="197"/>
    </row>
    <row r="3" spans="1:3" ht="9.75" customHeight="1">
      <c r="A3" s="215"/>
      <c r="B3" s="24"/>
      <c r="C3" s="197"/>
    </row>
    <row r="4" spans="1:7" ht="18" customHeight="1">
      <c r="A4" s="890" t="s">
        <v>418</v>
      </c>
      <c r="B4" s="890"/>
      <c r="C4" s="890"/>
      <c r="D4" s="890"/>
      <c r="E4" s="890"/>
      <c r="F4" s="890"/>
      <c r="G4" s="890"/>
    </row>
    <row r="5" spans="1:7" ht="41.25" customHeight="1">
      <c r="A5" s="1063" t="s">
        <v>850</v>
      </c>
      <c r="B5" s="890"/>
      <c r="C5" s="890"/>
      <c r="D5" s="890"/>
      <c r="E5" s="890"/>
      <c r="F5" s="890"/>
      <c r="G5" s="890"/>
    </row>
    <row r="6" spans="1:7" ht="19.5" customHeight="1">
      <c r="A6" s="1053" t="s">
        <v>853</v>
      </c>
      <c r="B6" s="1053"/>
      <c r="C6" s="1053"/>
      <c r="D6" s="1053"/>
      <c r="E6" s="1053"/>
      <c r="F6" s="1053"/>
      <c r="G6" s="1053"/>
    </row>
    <row r="7" spans="6:7" ht="21" customHeight="1">
      <c r="F7" s="1060" t="s">
        <v>707</v>
      </c>
      <c r="G7" s="1060"/>
    </row>
    <row r="8" spans="1:7" ht="30.75" customHeight="1">
      <c r="A8" s="1066" t="s">
        <v>266</v>
      </c>
      <c r="B8" s="1066" t="s">
        <v>209</v>
      </c>
      <c r="C8" s="1061" t="s">
        <v>667</v>
      </c>
      <c r="D8" s="1061" t="s">
        <v>210</v>
      </c>
      <c r="E8" s="1061" t="s">
        <v>70</v>
      </c>
      <c r="F8" s="1059" t="s">
        <v>215</v>
      </c>
      <c r="G8" s="1059" t="s">
        <v>216</v>
      </c>
    </row>
    <row r="9" spans="1:7" ht="29.25" customHeight="1">
      <c r="A9" s="1067"/>
      <c r="B9" s="1067"/>
      <c r="C9" s="1062"/>
      <c r="D9" s="1062"/>
      <c r="E9" s="1062"/>
      <c r="F9" s="1059"/>
      <c r="G9" s="1059"/>
    </row>
    <row r="10" spans="1:7" ht="27" customHeight="1">
      <c r="A10" s="1064" t="s">
        <v>297</v>
      </c>
      <c r="B10" s="1065"/>
      <c r="C10" s="10">
        <f>C11+C22+C26+C29+C32+C36+C43</f>
        <v>1894</v>
      </c>
      <c r="D10" s="10">
        <f>D11+D22+D26+D29+D32+D36+D43</f>
        <v>478.8</v>
      </c>
      <c r="E10" s="10">
        <f>E11+E22+E26+E29+E32+E36+E43</f>
        <v>1414.7</v>
      </c>
      <c r="F10" s="10">
        <f>F11+F22+F26+F29+F32+F36+F43</f>
        <v>843.6400000000001</v>
      </c>
      <c r="G10" s="10">
        <f>G11+G22+G26+G29+G32+G36+G43</f>
        <v>571.5600000000001</v>
      </c>
    </row>
    <row r="11" spans="1:7" ht="24.75" customHeight="1">
      <c r="A11" s="40" t="s">
        <v>268</v>
      </c>
      <c r="B11" s="37" t="s">
        <v>300</v>
      </c>
      <c r="C11" s="217">
        <f>SUM(C12:C21)</f>
        <v>155</v>
      </c>
      <c r="D11" s="217">
        <f>SUM(D12:D21)</f>
        <v>15.500000000000002</v>
      </c>
      <c r="E11" s="217">
        <f>SUM(E12:E21)</f>
        <v>139.5</v>
      </c>
      <c r="F11" s="217">
        <f>SUM(F12:F21)</f>
        <v>84</v>
      </c>
      <c r="G11" s="217">
        <f>SUM(G12:G21)</f>
        <v>56</v>
      </c>
    </row>
    <row r="12" spans="1:7" ht="24.75" customHeight="1">
      <c r="A12" s="46">
        <v>1</v>
      </c>
      <c r="B12" s="689" t="s">
        <v>301</v>
      </c>
      <c r="C12" s="690">
        <v>10</v>
      </c>
      <c r="D12" s="218">
        <v>1</v>
      </c>
      <c r="E12" s="218">
        <f>C12-D12</f>
        <v>9</v>
      </c>
      <c r="F12" s="219">
        <v>5</v>
      </c>
      <c r="G12" s="220">
        <v>4</v>
      </c>
    </row>
    <row r="13" spans="1:7" ht="24.75" customHeight="1">
      <c r="A13" s="46">
        <v>2</v>
      </c>
      <c r="B13" s="689" t="s">
        <v>302</v>
      </c>
      <c r="C13" s="690">
        <v>7</v>
      </c>
      <c r="D13" s="218">
        <v>0.7000000000000001</v>
      </c>
      <c r="E13" s="218">
        <f aca="true" t="shared" si="0" ref="E13:E21">C13-D13</f>
        <v>6.3</v>
      </c>
      <c r="F13" s="219">
        <v>4</v>
      </c>
      <c r="G13" s="220">
        <v>2</v>
      </c>
    </row>
    <row r="14" spans="1:7" ht="24.75" customHeight="1">
      <c r="A14" s="46">
        <v>3</v>
      </c>
      <c r="B14" s="689" t="s">
        <v>303</v>
      </c>
      <c r="C14" s="690">
        <v>30</v>
      </c>
      <c r="D14" s="218">
        <v>3</v>
      </c>
      <c r="E14" s="218">
        <f t="shared" si="0"/>
        <v>27</v>
      </c>
      <c r="F14" s="219">
        <v>16</v>
      </c>
      <c r="G14" s="220">
        <v>11</v>
      </c>
    </row>
    <row r="15" spans="1:7" ht="24.75" customHeight="1">
      <c r="A15" s="46">
        <v>4</v>
      </c>
      <c r="B15" s="689" t="s">
        <v>304</v>
      </c>
      <c r="C15" s="690">
        <v>14</v>
      </c>
      <c r="D15" s="218">
        <v>1.4000000000000001</v>
      </c>
      <c r="E15" s="218">
        <f t="shared" si="0"/>
        <v>12.6</v>
      </c>
      <c r="F15" s="219">
        <v>8</v>
      </c>
      <c r="G15" s="220">
        <v>5</v>
      </c>
    </row>
    <row r="16" spans="1:7" ht="24.75" customHeight="1">
      <c r="A16" s="46">
        <v>5</v>
      </c>
      <c r="B16" s="689" t="s">
        <v>305</v>
      </c>
      <c r="C16" s="690">
        <v>20</v>
      </c>
      <c r="D16" s="218">
        <v>2</v>
      </c>
      <c r="E16" s="218">
        <f t="shared" si="0"/>
        <v>18</v>
      </c>
      <c r="F16" s="219">
        <v>11</v>
      </c>
      <c r="G16" s="220">
        <v>7</v>
      </c>
    </row>
    <row r="17" spans="1:7" ht="24.75" customHeight="1">
      <c r="A17" s="46">
        <v>6</v>
      </c>
      <c r="B17" s="689" t="s">
        <v>306</v>
      </c>
      <c r="C17" s="690">
        <v>10</v>
      </c>
      <c r="D17" s="218">
        <v>1</v>
      </c>
      <c r="E17" s="218">
        <f t="shared" si="0"/>
        <v>9</v>
      </c>
      <c r="F17" s="219">
        <v>5</v>
      </c>
      <c r="G17" s="220">
        <v>4</v>
      </c>
    </row>
    <row r="18" spans="1:7" ht="24.75" customHeight="1">
      <c r="A18" s="46">
        <v>7</v>
      </c>
      <c r="B18" s="689" t="s">
        <v>307</v>
      </c>
      <c r="C18" s="690">
        <v>12</v>
      </c>
      <c r="D18" s="218">
        <v>1.2000000000000002</v>
      </c>
      <c r="E18" s="218">
        <f t="shared" si="0"/>
        <v>10.8</v>
      </c>
      <c r="F18" s="219">
        <v>7</v>
      </c>
      <c r="G18" s="220">
        <v>4</v>
      </c>
    </row>
    <row r="19" spans="1:7" ht="24.75" customHeight="1">
      <c r="A19" s="46">
        <v>8</v>
      </c>
      <c r="B19" s="689" t="s">
        <v>308</v>
      </c>
      <c r="C19" s="690">
        <v>8</v>
      </c>
      <c r="D19" s="218">
        <v>0.8</v>
      </c>
      <c r="E19" s="218">
        <f t="shared" si="0"/>
        <v>7.2</v>
      </c>
      <c r="F19" s="219">
        <v>4</v>
      </c>
      <c r="G19" s="220">
        <v>3</v>
      </c>
    </row>
    <row r="20" spans="1:7" ht="24.75" customHeight="1">
      <c r="A20" s="46">
        <v>9</v>
      </c>
      <c r="B20" s="689" t="s">
        <v>309</v>
      </c>
      <c r="C20" s="690">
        <v>34</v>
      </c>
      <c r="D20" s="218">
        <v>3.4000000000000004</v>
      </c>
      <c r="E20" s="218">
        <f t="shared" si="0"/>
        <v>30.6</v>
      </c>
      <c r="F20" s="219">
        <v>19</v>
      </c>
      <c r="G20" s="220">
        <v>12</v>
      </c>
    </row>
    <row r="21" spans="1:7" ht="24.75" customHeight="1">
      <c r="A21" s="46">
        <v>10</v>
      </c>
      <c r="B21" s="689" t="s">
        <v>310</v>
      </c>
      <c r="C21" s="690">
        <v>10</v>
      </c>
      <c r="D21" s="218">
        <v>1</v>
      </c>
      <c r="E21" s="218">
        <f t="shared" si="0"/>
        <v>9</v>
      </c>
      <c r="F21" s="219">
        <v>5</v>
      </c>
      <c r="G21" s="220">
        <v>4</v>
      </c>
    </row>
    <row r="22" spans="1:7" ht="24.75" customHeight="1">
      <c r="A22" s="40" t="s">
        <v>269</v>
      </c>
      <c r="B22" s="37" t="s">
        <v>494</v>
      </c>
      <c r="C22" s="217">
        <f>C23</f>
        <v>117</v>
      </c>
      <c r="D22" s="217">
        <f>D23</f>
        <v>11.7</v>
      </c>
      <c r="E22" s="217">
        <f>E23</f>
        <v>104.8</v>
      </c>
      <c r="F22" s="217">
        <f>F23</f>
        <v>63</v>
      </c>
      <c r="G22" s="217">
        <f>G23</f>
        <v>41.8</v>
      </c>
    </row>
    <row r="23" spans="1:7" ht="34.5" customHeight="1">
      <c r="A23" s="46">
        <v>1</v>
      </c>
      <c r="B23" s="47" t="s">
        <v>666</v>
      </c>
      <c r="C23" s="212">
        <f>C24+C25</f>
        <v>117</v>
      </c>
      <c r="D23" s="212">
        <f>D24+D25</f>
        <v>11.7</v>
      </c>
      <c r="E23" s="212">
        <f>E24+E25</f>
        <v>104.8</v>
      </c>
      <c r="F23" s="212">
        <f>F24+F25</f>
        <v>63</v>
      </c>
      <c r="G23" s="212">
        <f>G24+G25</f>
        <v>41.8</v>
      </c>
    </row>
    <row r="24" spans="1:7" s="697" customFormat="1" ht="24.75" customHeight="1">
      <c r="A24" s="691"/>
      <c r="B24" s="692" t="s">
        <v>603</v>
      </c>
      <c r="C24" s="693">
        <v>45</v>
      </c>
      <c r="D24" s="694">
        <f>C24*10%</f>
        <v>4.5</v>
      </c>
      <c r="E24" s="694">
        <v>40</v>
      </c>
      <c r="F24" s="695">
        <f>E24*60%</f>
        <v>24</v>
      </c>
      <c r="G24" s="696">
        <f>E24-F24</f>
        <v>16</v>
      </c>
    </row>
    <row r="25" spans="1:7" s="697" customFormat="1" ht="24.75" customHeight="1">
      <c r="A25" s="691"/>
      <c r="B25" s="698" t="s">
        <v>719</v>
      </c>
      <c r="C25" s="693">
        <v>72</v>
      </c>
      <c r="D25" s="694">
        <f>C25*10%</f>
        <v>7.2</v>
      </c>
      <c r="E25" s="694">
        <f>C25-D25</f>
        <v>64.8</v>
      </c>
      <c r="F25" s="695">
        <v>39</v>
      </c>
      <c r="G25" s="696">
        <f>E25-F25</f>
        <v>25.799999999999997</v>
      </c>
    </row>
    <row r="26" spans="1:7" ht="42" customHeight="1">
      <c r="A26" s="48" t="s">
        <v>270</v>
      </c>
      <c r="B26" s="41" t="s">
        <v>32</v>
      </c>
      <c r="C26" s="49">
        <f aca="true" t="shared" si="1" ref="C26:G27">C27</f>
        <v>400</v>
      </c>
      <c r="D26" s="49">
        <f t="shared" si="1"/>
        <v>0</v>
      </c>
      <c r="E26" s="49">
        <f t="shared" si="1"/>
        <v>400</v>
      </c>
      <c r="F26" s="49">
        <f t="shared" si="1"/>
        <v>240</v>
      </c>
      <c r="G26" s="49">
        <f t="shared" si="1"/>
        <v>160</v>
      </c>
    </row>
    <row r="27" spans="1:7" ht="35.25" customHeight="1">
      <c r="A27" s="12">
        <v>1</v>
      </c>
      <c r="B27" s="50" t="s">
        <v>557</v>
      </c>
      <c r="C27" s="49">
        <f t="shared" si="1"/>
        <v>400</v>
      </c>
      <c r="D27" s="49">
        <f t="shared" si="1"/>
        <v>0</v>
      </c>
      <c r="E27" s="49">
        <f t="shared" si="1"/>
        <v>400</v>
      </c>
      <c r="F27" s="49">
        <f t="shared" si="1"/>
        <v>240</v>
      </c>
      <c r="G27" s="49">
        <f t="shared" si="1"/>
        <v>160</v>
      </c>
    </row>
    <row r="28" spans="1:7" ht="24.75" customHeight="1">
      <c r="A28" s="51"/>
      <c r="B28" s="43" t="s">
        <v>721</v>
      </c>
      <c r="C28" s="52">
        <v>400</v>
      </c>
      <c r="D28" s="52">
        <v>0</v>
      </c>
      <c r="E28" s="52">
        <f>C28-D28</f>
        <v>400</v>
      </c>
      <c r="F28" s="209">
        <f>E28*60%</f>
        <v>240</v>
      </c>
      <c r="G28" s="220">
        <f>E28-F28</f>
        <v>160</v>
      </c>
    </row>
    <row r="29" spans="1:7" ht="37.5" customHeight="1">
      <c r="A29" s="12" t="s">
        <v>271</v>
      </c>
      <c r="B29" s="41" t="s">
        <v>720</v>
      </c>
      <c r="C29" s="49">
        <f aca="true" t="shared" si="2" ref="C29:G30">C30</f>
        <v>120</v>
      </c>
      <c r="D29" s="49">
        <f t="shared" si="2"/>
        <v>12</v>
      </c>
      <c r="E29" s="49">
        <f t="shared" si="2"/>
        <v>108</v>
      </c>
      <c r="F29" s="49">
        <f t="shared" si="2"/>
        <v>64.8</v>
      </c>
      <c r="G29" s="49">
        <f t="shared" si="2"/>
        <v>43.2</v>
      </c>
    </row>
    <row r="30" spans="1:7" ht="44.25" customHeight="1">
      <c r="A30" s="12">
        <v>1</v>
      </c>
      <c r="B30" s="50" t="s">
        <v>557</v>
      </c>
      <c r="C30" s="49">
        <f t="shared" si="2"/>
        <v>120</v>
      </c>
      <c r="D30" s="49">
        <f t="shared" si="2"/>
        <v>12</v>
      </c>
      <c r="E30" s="49">
        <f t="shared" si="2"/>
        <v>108</v>
      </c>
      <c r="F30" s="49">
        <f t="shared" si="2"/>
        <v>64.8</v>
      </c>
      <c r="G30" s="49">
        <f t="shared" si="2"/>
        <v>43.2</v>
      </c>
    </row>
    <row r="31" spans="1:7" ht="24.75" customHeight="1">
      <c r="A31" s="51"/>
      <c r="B31" s="43" t="s">
        <v>722</v>
      </c>
      <c r="C31" s="52">
        <v>120</v>
      </c>
      <c r="D31" s="52">
        <f>C31*10%</f>
        <v>12</v>
      </c>
      <c r="E31" s="52">
        <f>C31-D31</f>
        <v>108</v>
      </c>
      <c r="F31" s="219">
        <f>E31*60%</f>
        <v>64.8</v>
      </c>
      <c r="G31" s="220">
        <f>E31-F31</f>
        <v>43.2</v>
      </c>
    </row>
    <row r="32" spans="1:7" ht="24.75" customHeight="1">
      <c r="A32" s="12" t="s">
        <v>340</v>
      </c>
      <c r="B32" s="41" t="s">
        <v>33</v>
      </c>
      <c r="C32" s="49">
        <f>C34+C35</f>
        <v>560</v>
      </c>
      <c r="D32" s="49">
        <f>D34+D35</f>
        <v>56</v>
      </c>
      <c r="E32" s="49">
        <f>E34+E35</f>
        <v>504</v>
      </c>
      <c r="F32" s="49">
        <f>F34+F35</f>
        <v>302.4</v>
      </c>
      <c r="G32" s="49">
        <f>G34+G35</f>
        <v>201.6</v>
      </c>
    </row>
    <row r="33" spans="1:7" ht="42.75" customHeight="1">
      <c r="A33" s="12">
        <v>1</v>
      </c>
      <c r="B33" s="50" t="s">
        <v>557</v>
      </c>
      <c r="C33" s="49">
        <f>C34+C35</f>
        <v>560</v>
      </c>
      <c r="D33" s="49">
        <f>D34+D35</f>
        <v>56</v>
      </c>
      <c r="E33" s="49">
        <f>E34+E35</f>
        <v>504</v>
      </c>
      <c r="F33" s="49">
        <f>F34+F35</f>
        <v>302.4</v>
      </c>
      <c r="G33" s="49">
        <f>G34+G35</f>
        <v>201.6</v>
      </c>
    </row>
    <row r="34" spans="1:7" ht="61.5" customHeight="1">
      <c r="A34" s="51"/>
      <c r="B34" s="43" t="s">
        <v>723</v>
      </c>
      <c r="C34" s="52">
        <f>50+20+480</f>
        <v>550</v>
      </c>
      <c r="D34" s="52">
        <f>C34*10%</f>
        <v>55</v>
      </c>
      <c r="E34" s="52">
        <f>C34-D34</f>
        <v>495</v>
      </c>
      <c r="F34" s="209">
        <f>E34*60%</f>
        <v>297</v>
      </c>
      <c r="G34" s="220">
        <f>E34-F34</f>
        <v>198</v>
      </c>
    </row>
    <row r="35" spans="1:7" ht="24.75" customHeight="1">
      <c r="A35" s="51"/>
      <c r="B35" s="43" t="s">
        <v>244</v>
      </c>
      <c r="C35" s="52">
        <v>10</v>
      </c>
      <c r="D35" s="52">
        <f>C35*10%</f>
        <v>1</v>
      </c>
      <c r="E35" s="52">
        <f>C35-D35</f>
        <v>9</v>
      </c>
      <c r="F35" s="219">
        <f>E35*60%</f>
        <v>5.3999999999999995</v>
      </c>
      <c r="G35" s="220">
        <f>E35-F35</f>
        <v>3.6000000000000005</v>
      </c>
    </row>
    <row r="36" spans="1:7" ht="24.75" customHeight="1">
      <c r="A36" s="30" t="s">
        <v>378</v>
      </c>
      <c r="B36" s="31" t="s">
        <v>204</v>
      </c>
      <c r="C36" s="221">
        <f>C37+C41</f>
        <v>510</v>
      </c>
      <c r="D36" s="221">
        <f>D37+D41</f>
        <v>374</v>
      </c>
      <c r="E36" s="221">
        <f>E37+E41</f>
        <v>136</v>
      </c>
      <c r="F36" s="221">
        <f>F37+F41</f>
        <v>76</v>
      </c>
      <c r="G36" s="221">
        <f>G37+G41</f>
        <v>60</v>
      </c>
    </row>
    <row r="37" spans="1:7" ht="24.75" customHeight="1">
      <c r="A37" s="30">
        <v>1</v>
      </c>
      <c r="B37" s="31" t="s">
        <v>354</v>
      </c>
      <c r="C37" s="222">
        <f>SUM(C38:C40)</f>
        <v>110</v>
      </c>
      <c r="D37" s="222">
        <f>SUM(D38:D40)</f>
        <v>74</v>
      </c>
      <c r="E37" s="222">
        <f>SUM(E38:E40)</f>
        <v>36</v>
      </c>
      <c r="F37" s="222">
        <f>SUM(F38:F40)</f>
        <v>16</v>
      </c>
      <c r="G37" s="222">
        <f>SUM(G38:G40)</f>
        <v>20</v>
      </c>
    </row>
    <row r="38" spans="1:7" ht="39" customHeight="1">
      <c r="A38" s="223"/>
      <c r="B38" s="68" t="s">
        <v>599</v>
      </c>
      <c r="C38" s="224">
        <v>40</v>
      </c>
      <c r="D38" s="209">
        <f>C38*10%</f>
        <v>4</v>
      </c>
      <c r="E38" s="209">
        <f>C38-D38</f>
        <v>36</v>
      </c>
      <c r="F38" s="209">
        <v>16</v>
      </c>
      <c r="G38" s="209">
        <f>E38-F38</f>
        <v>20</v>
      </c>
    </row>
    <row r="39" spans="1:7" ht="24.75" customHeight="1">
      <c r="A39" s="223"/>
      <c r="B39" s="68" t="s">
        <v>668</v>
      </c>
      <c r="C39" s="224">
        <v>70</v>
      </c>
      <c r="D39" s="209">
        <v>70</v>
      </c>
      <c r="E39" s="209">
        <f>C39-D39</f>
        <v>0</v>
      </c>
      <c r="F39" s="209">
        <v>0</v>
      </c>
      <c r="G39" s="209">
        <f>E39-F39</f>
        <v>0</v>
      </c>
    </row>
    <row r="40" spans="1:7" ht="24.75" customHeight="1">
      <c r="A40" s="223"/>
      <c r="B40" s="209" t="s">
        <v>600</v>
      </c>
      <c r="C40" s="224"/>
      <c r="D40" s="209">
        <v>0</v>
      </c>
      <c r="E40" s="209">
        <f>C40-D40</f>
        <v>0</v>
      </c>
      <c r="F40" s="209">
        <f>E40*60%</f>
        <v>0</v>
      </c>
      <c r="G40" s="209">
        <f>E40-F40</f>
        <v>0</v>
      </c>
    </row>
    <row r="41" spans="1:7" ht="24.75" customHeight="1">
      <c r="A41" s="30">
        <v>2</v>
      </c>
      <c r="B41" s="31" t="s">
        <v>601</v>
      </c>
      <c r="C41" s="222">
        <f>SUM(C42)</f>
        <v>400</v>
      </c>
      <c r="D41" s="222">
        <f>SUM(D42)</f>
        <v>300</v>
      </c>
      <c r="E41" s="222">
        <f>SUM(E42)</f>
        <v>100</v>
      </c>
      <c r="F41" s="222">
        <f>SUM(F42)</f>
        <v>60</v>
      </c>
      <c r="G41" s="222">
        <f>SUM(G42)</f>
        <v>40</v>
      </c>
    </row>
    <row r="42" spans="1:7" ht="24.75" customHeight="1">
      <c r="A42" s="223"/>
      <c r="B42" s="209" t="s">
        <v>602</v>
      </c>
      <c r="C42" s="224">
        <v>400</v>
      </c>
      <c r="D42" s="224">
        <f>C42*75%</f>
        <v>300</v>
      </c>
      <c r="E42" s="224">
        <f>C42-D42</f>
        <v>100</v>
      </c>
      <c r="F42" s="224">
        <f>E42*60%</f>
        <v>60</v>
      </c>
      <c r="G42" s="224">
        <f>E42-F42</f>
        <v>40</v>
      </c>
    </row>
    <row r="43" spans="1:7" ht="18.75">
      <c r="A43" s="30" t="s">
        <v>480</v>
      </c>
      <c r="B43" s="31" t="s">
        <v>799</v>
      </c>
      <c r="C43" s="221">
        <f>C44+C48</f>
        <v>32</v>
      </c>
      <c r="D43" s="221">
        <f>D44+D48</f>
        <v>9.6</v>
      </c>
      <c r="E43" s="221">
        <f>E44+E48</f>
        <v>22.4</v>
      </c>
      <c r="F43" s="221">
        <f>F44+F48</f>
        <v>13.44</v>
      </c>
      <c r="G43" s="221">
        <f>G44+G48</f>
        <v>8.959999999999999</v>
      </c>
    </row>
    <row r="44" spans="1:7" ht="18.75">
      <c r="A44" s="30">
        <v>1</v>
      </c>
      <c r="B44" s="31" t="s">
        <v>359</v>
      </c>
      <c r="C44" s="221">
        <f>SUM(C45)</f>
        <v>32</v>
      </c>
      <c r="D44" s="221">
        <f>SUM(D45)</f>
        <v>9.6</v>
      </c>
      <c r="E44" s="221">
        <f>SUM(E45)</f>
        <v>22.4</v>
      </c>
      <c r="F44" s="221">
        <f>SUM(F45)</f>
        <v>13.44</v>
      </c>
      <c r="G44" s="221">
        <f>SUM(G45)</f>
        <v>8.959999999999999</v>
      </c>
    </row>
    <row r="45" spans="1:7" ht="37.5">
      <c r="A45" s="223"/>
      <c r="B45" s="735" t="s">
        <v>800</v>
      </c>
      <c r="C45" s="224">
        <v>32</v>
      </c>
      <c r="D45" s="736">
        <f>C45*30%</f>
        <v>9.6</v>
      </c>
      <c r="E45" s="736">
        <f>C45-D45</f>
        <v>22.4</v>
      </c>
      <c r="F45" s="218">
        <f>E45*60%</f>
        <v>13.44</v>
      </c>
      <c r="G45" s="218">
        <f>E45-F45</f>
        <v>8.959999999999999</v>
      </c>
    </row>
  </sheetData>
  <sheetProtection/>
  <mergeCells count="12">
    <mergeCell ref="A10:B10"/>
    <mergeCell ref="F7:G7"/>
    <mergeCell ref="A8:A9"/>
    <mergeCell ref="B8:B9"/>
    <mergeCell ref="C8:C9"/>
    <mergeCell ref="D8:D9"/>
    <mergeCell ref="E8:E9"/>
    <mergeCell ref="A5:G5"/>
    <mergeCell ref="A6:G6"/>
    <mergeCell ref="A4:G4"/>
    <mergeCell ref="F8:F9"/>
    <mergeCell ref="G8:G9"/>
  </mergeCells>
  <printOptions/>
  <pageMargins left="0.7874015748031497" right="0.4724409448818898" top="0.3937007874015748" bottom="0.3937007874015748" header="0.5118110236220472" footer="0.35433070866141736"/>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rgb="FF0070C0"/>
  </sheetPr>
  <dimension ref="A1:F56"/>
  <sheetViews>
    <sheetView zoomScale="130" zoomScaleNormal="130" zoomScalePageLayoutView="0" workbookViewId="0" topLeftCell="A1">
      <selection activeCell="A6" sqref="A6:F6"/>
    </sheetView>
  </sheetViews>
  <sheetFormatPr defaultColWidth="8.8515625" defaultRowHeight="12.75"/>
  <cols>
    <col min="1" max="1" width="6.8515625" style="365" customWidth="1"/>
    <col min="2" max="2" width="56.57421875" style="365" customWidth="1"/>
    <col min="3" max="3" width="15.421875" style="365" customWidth="1"/>
    <col min="4" max="4" width="16.28125" style="404" customWidth="1"/>
    <col min="5" max="5" width="13.7109375" style="365" hidden="1" customWidth="1"/>
    <col min="6" max="6" width="9.57421875" style="365" hidden="1" customWidth="1"/>
    <col min="7" max="16384" width="8.8515625" style="365" customWidth="1"/>
  </cols>
  <sheetData>
    <row r="1" spans="1:6" ht="16.5">
      <c r="A1" s="24" t="s">
        <v>852</v>
      </c>
      <c r="B1" s="15"/>
      <c r="C1" s="15"/>
      <c r="D1" s="67"/>
      <c r="E1" s="15"/>
      <c r="F1" s="15"/>
    </row>
    <row r="2" spans="1:6" ht="16.5">
      <c r="A2" s="24" t="s">
        <v>851</v>
      </c>
      <c r="B2" s="15"/>
      <c r="C2" s="15"/>
      <c r="D2" s="67"/>
      <c r="E2" s="15"/>
      <c r="F2" s="15"/>
    </row>
    <row r="3" spans="1:6" ht="18.75">
      <c r="A3" s="361"/>
      <c r="B3" s="362"/>
      <c r="C3" s="363"/>
      <c r="D3" s="357"/>
      <c r="E3" s="356"/>
      <c r="F3" s="356"/>
    </row>
    <row r="4" spans="1:6" ht="20.25" customHeight="1">
      <c r="A4" s="898" t="s">
        <v>332</v>
      </c>
      <c r="B4" s="898"/>
      <c r="C4" s="898"/>
      <c r="D4" s="898"/>
      <c r="E4" s="898"/>
      <c r="F4" s="898"/>
    </row>
    <row r="5" spans="1:6" ht="23.25" customHeight="1">
      <c r="A5" s="899" t="s">
        <v>838</v>
      </c>
      <c r="B5" s="899"/>
      <c r="C5" s="899"/>
      <c r="D5" s="899"/>
      <c r="E5" s="899"/>
      <c r="F5" s="899"/>
    </row>
    <row r="6" spans="1:6" ht="19.5" customHeight="1">
      <c r="A6" s="900" t="s">
        <v>853</v>
      </c>
      <c r="B6" s="900"/>
      <c r="C6" s="900"/>
      <c r="D6" s="900"/>
      <c r="E6" s="900"/>
      <c r="F6" s="900"/>
    </row>
    <row r="7" spans="2:4" ht="18">
      <c r="B7" s="364"/>
      <c r="C7" s="897" t="s">
        <v>707</v>
      </c>
      <c r="D7" s="897"/>
    </row>
    <row r="8" spans="1:6" ht="63.75" customHeight="1">
      <c r="A8" s="96" t="s">
        <v>266</v>
      </c>
      <c r="B8" s="96" t="s">
        <v>333</v>
      </c>
      <c r="C8" s="96" t="s">
        <v>334</v>
      </c>
      <c r="D8" s="366" t="s">
        <v>619</v>
      </c>
      <c r="E8" s="97" t="s">
        <v>521</v>
      </c>
      <c r="F8" s="97" t="s">
        <v>206</v>
      </c>
    </row>
    <row r="9" spans="1:6" ht="38.25" customHeight="1">
      <c r="A9" s="96"/>
      <c r="B9" s="367" t="s">
        <v>38</v>
      </c>
      <c r="C9" s="98">
        <f>C10+C41+C51+C53</f>
        <v>895519</v>
      </c>
      <c r="D9" s="59">
        <f>D10+D41+D51+D53</f>
        <v>917782.5999999999</v>
      </c>
      <c r="E9" s="99" t="e">
        <f>E10+E41+E51+E53</f>
        <v>#REF!</v>
      </c>
      <c r="F9" s="99">
        <f>F10+F41+F51+F53</f>
        <v>3634</v>
      </c>
    </row>
    <row r="10" spans="1:6" ht="19.5" customHeight="1">
      <c r="A10" s="96" t="s">
        <v>267</v>
      </c>
      <c r="B10" s="367" t="s">
        <v>434</v>
      </c>
      <c r="C10" s="671">
        <f>+C11+C22+C38</f>
        <v>748448</v>
      </c>
      <c r="D10" s="368">
        <f>D11+D22+D38</f>
        <v>749376.5999999999</v>
      </c>
      <c r="E10" s="369">
        <f>E11+E22+E38</f>
        <v>333599</v>
      </c>
      <c r="F10" s="369">
        <f>F11+F22+F38</f>
        <v>3634</v>
      </c>
    </row>
    <row r="11" spans="1:6" s="832" customFormat="1" ht="19.5" customHeight="1">
      <c r="A11" s="827" t="s">
        <v>268</v>
      </c>
      <c r="B11" s="828" t="s">
        <v>314</v>
      </c>
      <c r="C11" s="829">
        <f>SUM(C13:C13)</f>
        <v>149053</v>
      </c>
      <c r="D11" s="830">
        <f>SUM(D13:D13)</f>
        <v>149053</v>
      </c>
      <c r="E11" s="831">
        <f>SUM(E13:E13)</f>
        <v>149053</v>
      </c>
      <c r="F11" s="831">
        <f>SUM(F13:F13)</f>
        <v>0</v>
      </c>
    </row>
    <row r="12" spans="1:6" s="832" customFormat="1" ht="19.5" customHeight="1">
      <c r="A12" s="827"/>
      <c r="B12" s="828" t="s">
        <v>243</v>
      </c>
      <c r="C12" s="829">
        <f>SUM(C13:C13)</f>
        <v>149053</v>
      </c>
      <c r="D12" s="830">
        <f>SUM(D13:D13)</f>
        <v>149053</v>
      </c>
      <c r="E12" s="831">
        <f>SUM(E13:E13)</f>
        <v>149053</v>
      </c>
      <c r="F12" s="831">
        <f>SUM(F13:F13)</f>
        <v>0</v>
      </c>
    </row>
    <row r="13" spans="1:6" s="832" customFormat="1" ht="19.5" customHeight="1">
      <c r="A13" s="833"/>
      <c r="B13" s="834" t="s">
        <v>542</v>
      </c>
      <c r="C13" s="835">
        <v>149053</v>
      </c>
      <c r="D13" s="836">
        <f>D15+D16+D17+D18+D19+D20+D21</f>
        <v>149053</v>
      </c>
      <c r="E13" s="837">
        <f>D13</f>
        <v>149053</v>
      </c>
      <c r="F13" s="837"/>
    </row>
    <row r="14" spans="1:6" s="832" customFormat="1" ht="19.5" customHeight="1">
      <c r="A14" s="827"/>
      <c r="B14" s="838" t="s">
        <v>435</v>
      </c>
      <c r="C14" s="839">
        <f>SUM(C15:C21)</f>
        <v>0</v>
      </c>
      <c r="D14" s="840">
        <v>0</v>
      </c>
      <c r="E14" s="841">
        <f>SUM(E15:E21)</f>
        <v>102751</v>
      </c>
      <c r="F14" s="842"/>
    </row>
    <row r="15" spans="1:6" s="832" customFormat="1" ht="19.5" customHeight="1">
      <c r="A15" s="833">
        <v>1</v>
      </c>
      <c r="B15" s="834" t="s">
        <v>328</v>
      </c>
      <c r="C15" s="835"/>
      <c r="D15" s="843">
        <f>87000+200</f>
        <v>87200</v>
      </c>
      <c r="E15" s="844">
        <v>39316</v>
      </c>
      <c r="F15" s="844"/>
    </row>
    <row r="16" spans="1:6" s="832" customFormat="1" ht="19.5" customHeight="1">
      <c r="A16" s="833">
        <v>2</v>
      </c>
      <c r="B16" s="834" t="s">
        <v>335</v>
      </c>
      <c r="C16" s="835"/>
      <c r="D16" s="843">
        <v>50</v>
      </c>
      <c r="E16" s="844">
        <v>43250</v>
      </c>
      <c r="F16" s="844"/>
    </row>
    <row r="17" spans="1:6" s="832" customFormat="1" ht="19.5" customHeight="1">
      <c r="A17" s="833">
        <v>3</v>
      </c>
      <c r="B17" s="834" t="s">
        <v>568</v>
      </c>
      <c r="C17" s="835"/>
      <c r="D17" s="843">
        <v>11200</v>
      </c>
      <c r="E17" s="844"/>
      <c r="F17" s="844"/>
    </row>
    <row r="18" spans="1:6" s="832" customFormat="1" ht="19.5" customHeight="1">
      <c r="A18" s="833">
        <v>4</v>
      </c>
      <c r="B18" s="834" t="s">
        <v>337</v>
      </c>
      <c r="C18" s="835"/>
      <c r="D18" s="843">
        <v>1894</v>
      </c>
      <c r="E18" s="844">
        <v>4000</v>
      </c>
      <c r="F18" s="844"/>
    </row>
    <row r="19" spans="1:6" s="832" customFormat="1" ht="19.5" customHeight="1">
      <c r="A19" s="833">
        <v>5</v>
      </c>
      <c r="B19" s="834" t="s">
        <v>329</v>
      </c>
      <c r="C19" s="835"/>
      <c r="D19" s="843"/>
      <c r="E19" s="844">
        <v>6900</v>
      </c>
      <c r="F19" s="844"/>
    </row>
    <row r="20" spans="1:6" s="832" customFormat="1" ht="19.5" customHeight="1">
      <c r="A20" s="833">
        <v>6</v>
      </c>
      <c r="B20" s="834" t="s">
        <v>330</v>
      </c>
      <c r="C20" s="835"/>
      <c r="D20" s="843">
        <v>9400</v>
      </c>
      <c r="E20" s="844">
        <f>1500+100</f>
        <v>1600</v>
      </c>
      <c r="F20" s="844"/>
    </row>
    <row r="21" spans="1:6" s="845" customFormat="1" ht="19.5" customHeight="1">
      <c r="A21" s="833">
        <v>7</v>
      </c>
      <c r="B21" s="834" t="s">
        <v>569</v>
      </c>
      <c r="C21" s="835"/>
      <c r="D21" s="843">
        <f>5000+5000+1000+13404+14905</f>
        <v>39309</v>
      </c>
      <c r="E21" s="844">
        <v>7685</v>
      </c>
      <c r="F21" s="844"/>
    </row>
    <row r="22" spans="1:6" ht="19.5" customHeight="1">
      <c r="A22" s="96" t="s">
        <v>269</v>
      </c>
      <c r="B22" s="367" t="s">
        <v>315</v>
      </c>
      <c r="C22" s="98">
        <f>SUM(C23:C25)</f>
        <v>581395</v>
      </c>
      <c r="D22" s="98">
        <f>SUM(D23:D25)</f>
        <v>582323.5999999999</v>
      </c>
      <c r="E22" s="99">
        <f>SUM(E25:E37)</f>
        <v>171411</v>
      </c>
      <c r="F22" s="99">
        <f>SUM(F25:F37)</f>
        <v>1989</v>
      </c>
    </row>
    <row r="23" spans="1:6" ht="19.5" customHeight="1">
      <c r="A23" s="42">
        <v>1</v>
      </c>
      <c r="B23" s="372" t="s">
        <v>633</v>
      </c>
      <c r="C23" s="673">
        <v>33568</v>
      </c>
      <c r="D23" s="373">
        <f>'PL 03'!F15</f>
        <v>33568</v>
      </c>
      <c r="E23" s="370">
        <f>'[1]PL 03'!G30</f>
        <v>28350</v>
      </c>
      <c r="F23" s="370"/>
    </row>
    <row r="24" spans="1:6" ht="19.5" customHeight="1">
      <c r="A24" s="42">
        <v>2</v>
      </c>
      <c r="B24" s="372" t="s">
        <v>634</v>
      </c>
      <c r="C24" s="373">
        <v>257018</v>
      </c>
      <c r="D24" s="373">
        <f>'PL 03'!F19</f>
        <v>249819.39599999998</v>
      </c>
      <c r="E24" s="370">
        <f>'[1]PL 03'!G48</f>
        <v>249625</v>
      </c>
      <c r="F24" s="370"/>
    </row>
    <row r="25" spans="1:6" ht="19.5" customHeight="1">
      <c r="A25" s="42">
        <v>3</v>
      </c>
      <c r="B25" s="372" t="s">
        <v>624</v>
      </c>
      <c r="C25" s="673">
        <v>290809</v>
      </c>
      <c r="D25" s="373">
        <f>SUM(D26:D37)</f>
        <v>298936.20399999997</v>
      </c>
      <c r="E25" s="370">
        <f>'[1]PL 03'!G15</f>
        <v>50238</v>
      </c>
      <c r="F25" s="370"/>
    </row>
    <row r="26" spans="1:4" s="20" customFormat="1" ht="18.75">
      <c r="A26" s="374" t="s">
        <v>67</v>
      </c>
      <c r="B26" s="371" t="s">
        <v>328</v>
      </c>
      <c r="C26" s="375"/>
      <c r="D26" s="376">
        <f>'DVI SN'!AH32</f>
        <v>46376.7</v>
      </c>
    </row>
    <row r="27" spans="1:6" s="674" customFormat="1" ht="19.5" customHeight="1">
      <c r="A27" s="576" t="s">
        <v>68</v>
      </c>
      <c r="B27" s="577" t="s">
        <v>240</v>
      </c>
      <c r="C27" s="578"/>
      <c r="D27" s="579">
        <f>'PL 03'!F47</f>
        <v>4317.5</v>
      </c>
      <c r="E27" s="580">
        <f>'[1]PL 03'!G34</f>
        <v>4598</v>
      </c>
      <c r="F27" s="581"/>
    </row>
    <row r="28" spans="1:6" ht="19.5" customHeight="1">
      <c r="A28" s="374" t="s">
        <v>69</v>
      </c>
      <c r="B28" s="371" t="s">
        <v>205</v>
      </c>
      <c r="C28" s="377"/>
      <c r="D28" s="378">
        <f>'PL 03'!F58</f>
        <v>1015</v>
      </c>
      <c r="E28" s="379">
        <f>'[1]PL 03'!G41</f>
        <v>923</v>
      </c>
      <c r="F28" s="370"/>
    </row>
    <row r="29" spans="1:6" ht="19.5" customHeight="1">
      <c r="A29" s="374" t="s">
        <v>625</v>
      </c>
      <c r="B29" s="371" t="s">
        <v>635</v>
      </c>
      <c r="C29" s="377"/>
      <c r="D29" s="378">
        <f>'PL 03'!F62</f>
        <v>1321.5</v>
      </c>
      <c r="E29" s="379">
        <f>'[1]PL 03'!G44</f>
        <v>1123</v>
      </c>
      <c r="F29" s="370"/>
    </row>
    <row r="30" spans="1:6" ht="19.5" customHeight="1">
      <c r="A30" s="374" t="s">
        <v>626</v>
      </c>
      <c r="B30" s="371" t="s">
        <v>336</v>
      </c>
      <c r="C30" s="377"/>
      <c r="D30" s="378">
        <f>'PL 03'!F65</f>
        <v>5000</v>
      </c>
      <c r="E30" s="379">
        <f>'[1]PL 03'!G62</f>
        <v>5000</v>
      </c>
      <c r="F30" s="370"/>
    </row>
    <row r="31" spans="1:6" ht="19.5" customHeight="1">
      <c r="A31" s="374" t="s">
        <v>627</v>
      </c>
      <c r="B31" s="371" t="s">
        <v>337</v>
      </c>
      <c r="C31" s="377"/>
      <c r="D31" s="378">
        <f>'PL 03'!F66</f>
        <v>49817</v>
      </c>
      <c r="E31" s="379">
        <f>'[1]PL 03'!G63</f>
        <v>47658</v>
      </c>
      <c r="F31" s="370"/>
    </row>
    <row r="32" spans="1:6" ht="19.5" customHeight="1">
      <c r="A32" s="374" t="s">
        <v>628</v>
      </c>
      <c r="B32" s="371" t="s">
        <v>636</v>
      </c>
      <c r="C32" s="377"/>
      <c r="D32" s="378">
        <f>'PL 03'!F93</f>
        <v>43672</v>
      </c>
      <c r="E32" s="379">
        <f>'[1]PL 03'!G89</f>
        <v>33019</v>
      </c>
      <c r="F32" s="370"/>
    </row>
    <row r="33" spans="1:6" ht="19.5" customHeight="1">
      <c r="A33" s="374" t="s">
        <v>629</v>
      </c>
      <c r="B33" s="371" t="s">
        <v>329</v>
      </c>
      <c r="C33" s="377"/>
      <c r="D33" s="378">
        <f>'PL 03'!F99</f>
        <v>9057.6</v>
      </c>
      <c r="E33" s="379">
        <f>'[1]PL 03'!G95</f>
        <v>8000</v>
      </c>
      <c r="F33" s="370"/>
    </row>
    <row r="34" spans="1:6" ht="19.5" customHeight="1">
      <c r="A34" s="374" t="s">
        <v>630</v>
      </c>
      <c r="B34" s="371" t="s">
        <v>330</v>
      </c>
      <c r="C34" s="377"/>
      <c r="D34" s="378">
        <f>'PL 03'!F97</f>
        <v>1532.7</v>
      </c>
      <c r="E34" s="379">
        <f>'[1]PL 03'!G93</f>
        <v>1265</v>
      </c>
      <c r="F34" s="370"/>
    </row>
    <row r="35" spans="1:6" ht="19.5" customHeight="1">
      <c r="A35" s="374" t="s">
        <v>631</v>
      </c>
      <c r="B35" s="371" t="s">
        <v>338</v>
      </c>
      <c r="C35" s="377"/>
      <c r="D35" s="378">
        <f>'PL 03'!F103</f>
        <v>108127</v>
      </c>
      <c r="E35" s="379"/>
      <c r="F35" s="370"/>
    </row>
    <row r="36" spans="1:6" ht="19.5" customHeight="1">
      <c r="A36" s="374" t="s">
        <v>632</v>
      </c>
      <c r="B36" s="371" t="s">
        <v>331</v>
      </c>
      <c r="C36" s="377"/>
      <c r="D36" s="378">
        <f>'PL 03'!F104</f>
        <v>11081.800000000001</v>
      </c>
      <c r="E36" s="379">
        <f>'[1]PL 03'!G100</f>
        <v>9698</v>
      </c>
      <c r="F36" s="370"/>
    </row>
    <row r="37" spans="1:6" ht="19.5" customHeight="1">
      <c r="A37" s="374" t="s">
        <v>637</v>
      </c>
      <c r="B37" s="371" t="s">
        <v>339</v>
      </c>
      <c r="C37" s="377"/>
      <c r="D37" s="378">
        <f>'PL 03'!E10</f>
        <v>17617.403999999995</v>
      </c>
      <c r="E37" s="379">
        <f>'[1]PL 03'!F10-2231</f>
        <v>9889</v>
      </c>
      <c r="F37" s="370">
        <f>'[1]PL 03'!F98</f>
        <v>1989</v>
      </c>
    </row>
    <row r="38" spans="1:6" ht="19.5" customHeight="1">
      <c r="A38" s="96" t="s">
        <v>270</v>
      </c>
      <c r="B38" s="367" t="s">
        <v>341</v>
      </c>
      <c r="C38" s="672">
        <v>18000</v>
      </c>
      <c r="D38" s="672">
        <f>SUM(D39:D40)</f>
        <v>18000</v>
      </c>
      <c r="E38" s="369">
        <f>+E39+E40</f>
        <v>13135</v>
      </c>
      <c r="F38" s="369">
        <f>+F39+F40</f>
        <v>1645</v>
      </c>
    </row>
    <row r="39" spans="1:6" ht="19.5" customHeight="1">
      <c r="A39" s="42">
        <v>1</v>
      </c>
      <c r="B39" s="43" t="s">
        <v>497</v>
      </c>
      <c r="C39" s="673"/>
      <c r="D39" s="675">
        <v>15775</v>
      </c>
      <c r="E39" s="100">
        <v>13135</v>
      </c>
      <c r="F39" s="370"/>
    </row>
    <row r="40" spans="1:6" ht="19.5" customHeight="1">
      <c r="A40" s="42">
        <v>2</v>
      </c>
      <c r="B40" s="43" t="s">
        <v>498</v>
      </c>
      <c r="C40" s="673"/>
      <c r="D40" s="675">
        <f>'PL 03'!D119</f>
        <v>2225</v>
      </c>
      <c r="E40" s="100">
        <v>0</v>
      </c>
      <c r="F40" s="100">
        <v>1645</v>
      </c>
    </row>
    <row r="41" spans="1:6" s="847" customFormat="1" ht="40.5" customHeight="1">
      <c r="A41" s="827" t="s">
        <v>272</v>
      </c>
      <c r="B41" s="846" t="s">
        <v>523</v>
      </c>
      <c r="C41" s="829">
        <f>C42+C47</f>
        <v>147071</v>
      </c>
      <c r="D41" s="830">
        <f>D42+D47</f>
        <v>147071</v>
      </c>
      <c r="E41" s="831">
        <f>E42+E47</f>
        <v>83013</v>
      </c>
      <c r="F41" s="831">
        <f>F42+F47</f>
        <v>0</v>
      </c>
    </row>
    <row r="42" spans="1:6" s="847" customFormat="1" ht="38.25" customHeight="1">
      <c r="A42" s="827" t="s">
        <v>268</v>
      </c>
      <c r="B42" s="848" t="s">
        <v>526</v>
      </c>
      <c r="C42" s="829">
        <v>90000</v>
      </c>
      <c r="D42" s="829">
        <f>D44+D45+D46</f>
        <v>90000</v>
      </c>
      <c r="E42" s="849">
        <f>SUM(E44:E45)</f>
        <v>41800</v>
      </c>
      <c r="F42" s="849"/>
    </row>
    <row r="43" spans="1:6" s="832" customFormat="1" ht="21.75" customHeight="1">
      <c r="A43" s="833"/>
      <c r="B43" s="850" t="s">
        <v>226</v>
      </c>
      <c r="C43" s="835"/>
      <c r="D43" s="835"/>
      <c r="E43" s="837"/>
      <c r="F43" s="837"/>
    </row>
    <row r="44" spans="1:6" s="832" customFormat="1" ht="21.75" customHeight="1">
      <c r="A44" s="833">
        <v>1</v>
      </c>
      <c r="B44" s="834" t="s">
        <v>328</v>
      </c>
      <c r="C44" s="835"/>
      <c r="D44" s="835">
        <f>47600+400</f>
        <v>48000</v>
      </c>
      <c r="E44" s="844">
        <f>15000</f>
        <v>15000</v>
      </c>
      <c r="F44" s="844"/>
    </row>
    <row r="45" spans="1:6" s="832" customFormat="1" ht="39" customHeight="1">
      <c r="A45" s="833">
        <v>2</v>
      </c>
      <c r="B45" s="834" t="s">
        <v>570</v>
      </c>
      <c r="C45" s="835"/>
      <c r="D45" s="835">
        <v>4000</v>
      </c>
      <c r="E45" s="844">
        <f>21800+5000</f>
        <v>26800</v>
      </c>
      <c r="F45" s="844"/>
    </row>
    <row r="46" spans="1:6" s="832" customFormat="1" ht="21.75" customHeight="1">
      <c r="A46" s="833">
        <v>3</v>
      </c>
      <c r="B46" s="834" t="s">
        <v>569</v>
      </c>
      <c r="C46" s="835"/>
      <c r="D46" s="835">
        <f>29000+9000</f>
        <v>38000</v>
      </c>
      <c r="E46" s="844"/>
      <c r="F46" s="844"/>
    </row>
    <row r="47" spans="1:6" s="847" customFormat="1" ht="21.75" customHeight="1">
      <c r="A47" s="827" t="s">
        <v>269</v>
      </c>
      <c r="B47" s="851" t="s">
        <v>342</v>
      </c>
      <c r="C47" s="839">
        <v>57071</v>
      </c>
      <c r="D47" s="839">
        <f>D49+D50</f>
        <v>57071</v>
      </c>
      <c r="E47" s="849">
        <f>SUM(E49:E50)</f>
        <v>41213</v>
      </c>
      <c r="F47" s="849"/>
    </row>
    <row r="48" spans="1:6" s="832" customFormat="1" ht="21.75" customHeight="1">
      <c r="A48" s="833"/>
      <c r="B48" s="850" t="s">
        <v>226</v>
      </c>
      <c r="C48" s="835"/>
      <c r="D48" s="836"/>
      <c r="E48" s="837"/>
      <c r="F48" s="837"/>
    </row>
    <row r="49" spans="1:6" s="832" customFormat="1" ht="21.75" customHeight="1">
      <c r="A49" s="833">
        <v>1</v>
      </c>
      <c r="B49" s="834" t="s">
        <v>335</v>
      </c>
      <c r="C49" s="835"/>
      <c r="D49" s="843">
        <v>32800</v>
      </c>
      <c r="E49" s="844">
        <v>29000</v>
      </c>
      <c r="F49" s="844"/>
    </row>
    <row r="50" spans="1:6" s="832" customFormat="1" ht="21.75" customHeight="1">
      <c r="A50" s="833">
        <v>2</v>
      </c>
      <c r="B50" s="834" t="s">
        <v>569</v>
      </c>
      <c r="C50" s="835"/>
      <c r="D50" s="843">
        <f>18564+5707</f>
        <v>24271</v>
      </c>
      <c r="E50" s="844">
        <v>12213</v>
      </c>
      <c r="F50" s="844"/>
    </row>
    <row r="51" spans="1:6" s="832" customFormat="1" ht="39.75" customHeight="1">
      <c r="A51" s="827" t="s">
        <v>299</v>
      </c>
      <c r="B51" s="852" t="s">
        <v>245</v>
      </c>
      <c r="C51" s="853"/>
      <c r="D51" s="854">
        <f>D52</f>
        <v>3335</v>
      </c>
      <c r="E51" s="855" t="e">
        <f>E52+#REF!</f>
        <v>#REF!</v>
      </c>
      <c r="F51" s="856"/>
    </row>
    <row r="52" spans="1:6" s="832" customFormat="1" ht="22.5" customHeight="1">
      <c r="A52" s="833">
        <v>1</v>
      </c>
      <c r="B52" s="857" t="s">
        <v>817</v>
      </c>
      <c r="C52" s="853"/>
      <c r="D52" s="858">
        <v>3335</v>
      </c>
      <c r="E52" s="859">
        <v>9045</v>
      </c>
      <c r="F52" s="856"/>
    </row>
    <row r="53" spans="1:6" s="832" customFormat="1" ht="38.25" customHeight="1">
      <c r="A53" s="827" t="s">
        <v>148</v>
      </c>
      <c r="B53" s="860" t="s">
        <v>571</v>
      </c>
      <c r="C53" s="853"/>
      <c r="D53" s="854">
        <f>D54+D55</f>
        <v>18000</v>
      </c>
      <c r="E53" s="855" t="e">
        <f>E54+E55</f>
        <v>#REF!</v>
      </c>
      <c r="F53" s="856"/>
    </row>
    <row r="54" spans="1:6" s="832" customFormat="1" ht="23.25" customHeight="1">
      <c r="A54" s="861">
        <v>1</v>
      </c>
      <c r="B54" s="862" t="s">
        <v>43</v>
      </c>
      <c r="C54" s="853"/>
      <c r="D54" s="863">
        <f>'PL 01 (THU)'!$E$49</f>
        <v>9000</v>
      </c>
      <c r="E54" s="864">
        <v>16200</v>
      </c>
      <c r="F54" s="856"/>
    </row>
    <row r="55" spans="1:6" s="832" customFormat="1" ht="23.25" customHeight="1">
      <c r="A55" s="861">
        <v>2</v>
      </c>
      <c r="B55" s="834" t="s">
        <v>44</v>
      </c>
      <c r="C55" s="853"/>
      <c r="D55" s="865">
        <f>D56</f>
        <v>9000</v>
      </c>
      <c r="E55" s="866" t="e">
        <f>#REF!+E56</f>
        <v>#REF!</v>
      </c>
      <c r="F55" s="856"/>
    </row>
    <row r="56" spans="1:6" s="832" customFormat="1" ht="23.25" customHeight="1" hidden="1">
      <c r="A56" s="867"/>
      <c r="B56" s="868" t="s">
        <v>540</v>
      </c>
      <c r="C56" s="853"/>
      <c r="D56" s="869">
        <f>'PL 01 (THU)'!$E$51</f>
        <v>9000</v>
      </c>
      <c r="E56" s="864">
        <v>2646</v>
      </c>
      <c r="F56" s="856"/>
    </row>
  </sheetData>
  <sheetProtection/>
  <mergeCells count="4">
    <mergeCell ref="C7:D7"/>
    <mergeCell ref="A4:F4"/>
    <mergeCell ref="A5:F5"/>
    <mergeCell ref="A6:F6"/>
  </mergeCells>
  <printOptions/>
  <pageMargins left="0.44" right="0.34" top="0.5" bottom="0.49" header="0.37" footer="0.34"/>
  <pageSetup horizontalDpi="600" verticalDpi="600" orientation="portrait" paperSize="9"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tabColor rgb="FF0070C0"/>
  </sheetPr>
  <dimension ref="A1:M136"/>
  <sheetViews>
    <sheetView zoomScale="120" zoomScaleNormal="120" zoomScalePageLayoutView="0" workbookViewId="0" topLeftCell="A1">
      <selection activeCell="A6" sqref="A6:F6"/>
    </sheetView>
  </sheetViews>
  <sheetFormatPr defaultColWidth="8.8515625" defaultRowHeight="12.75"/>
  <cols>
    <col min="1" max="1" width="6.140625" style="349" customWidth="1"/>
    <col min="2" max="2" width="51.8515625" style="350" customWidth="1"/>
    <col min="3" max="3" width="11.7109375" style="561" customWidth="1"/>
    <col min="4" max="4" width="11.7109375" style="312" customWidth="1"/>
    <col min="5" max="5" width="11.421875" style="312" customWidth="1"/>
    <col min="6" max="6" width="12.421875" style="312" customWidth="1"/>
    <col min="7" max="7" width="11.140625" style="312" hidden="1" customWidth="1"/>
    <col min="8" max="9" width="16.28125" style="312" hidden="1" customWidth="1"/>
    <col min="10" max="10" width="25.28125" style="312" hidden="1" customWidth="1"/>
    <col min="11" max="11" width="13.57421875" style="312" hidden="1" customWidth="1"/>
    <col min="12" max="12" width="13.00390625" style="312" hidden="1" customWidth="1"/>
    <col min="13" max="13" width="0" style="312" hidden="1" customWidth="1"/>
    <col min="14" max="16384" width="8.8515625" style="312" customWidth="1"/>
  </cols>
  <sheetData>
    <row r="1" spans="1:10" s="290" customFormat="1" ht="16.5">
      <c r="A1" s="24" t="s">
        <v>852</v>
      </c>
      <c r="B1" s="287"/>
      <c r="C1" s="560"/>
      <c r="D1" s="288"/>
      <c r="E1" s="288"/>
      <c r="F1" s="288"/>
      <c r="G1" s="288"/>
      <c r="H1" s="288"/>
      <c r="I1" s="288"/>
      <c r="J1" s="289"/>
    </row>
    <row r="2" spans="1:10" s="290" customFormat="1" ht="17.25" customHeight="1">
      <c r="A2" s="24" t="s">
        <v>851</v>
      </c>
      <c r="B2" s="287"/>
      <c r="C2" s="560"/>
      <c r="D2" s="288"/>
      <c r="E2" s="288"/>
      <c r="F2" s="288"/>
      <c r="G2" s="288"/>
      <c r="H2" s="288"/>
      <c r="I2" s="288"/>
      <c r="J2" s="289"/>
    </row>
    <row r="3" spans="1:10" s="290" customFormat="1" ht="13.5" customHeight="1">
      <c r="A3" s="291"/>
      <c r="B3" s="292"/>
      <c r="C3" s="561"/>
      <c r="E3" s="288"/>
      <c r="F3" s="288"/>
      <c r="G3" s="288"/>
      <c r="H3" s="288"/>
      <c r="I3" s="288"/>
      <c r="J3" s="289"/>
    </row>
    <row r="4" spans="1:10" s="290" customFormat="1" ht="18.75">
      <c r="A4" s="901" t="s">
        <v>311</v>
      </c>
      <c r="B4" s="901"/>
      <c r="C4" s="901"/>
      <c r="D4" s="901"/>
      <c r="E4" s="901"/>
      <c r="F4" s="901"/>
      <c r="G4" s="773"/>
      <c r="H4" s="773"/>
      <c r="I4" s="773"/>
      <c r="J4" s="289"/>
    </row>
    <row r="5" spans="1:10" s="290" customFormat="1" ht="21" customHeight="1">
      <c r="A5" s="901" t="s">
        <v>839</v>
      </c>
      <c r="B5" s="901"/>
      <c r="C5" s="901"/>
      <c r="D5" s="901"/>
      <c r="E5" s="901"/>
      <c r="F5" s="901"/>
      <c r="G5" s="773"/>
      <c r="H5" s="773"/>
      <c r="I5" s="773"/>
      <c r="J5" s="289"/>
    </row>
    <row r="6" spans="1:10" s="290" customFormat="1" ht="21" customHeight="1">
      <c r="A6" s="902" t="s">
        <v>853</v>
      </c>
      <c r="B6" s="902"/>
      <c r="C6" s="902"/>
      <c r="D6" s="902"/>
      <c r="E6" s="902"/>
      <c r="F6" s="902"/>
      <c r="G6" s="774"/>
      <c r="H6" s="774"/>
      <c r="I6" s="774"/>
      <c r="J6" s="289"/>
    </row>
    <row r="7" spans="1:10" s="290" customFormat="1" ht="25.5" customHeight="1">
      <c r="A7" s="293"/>
      <c r="B7" s="294"/>
      <c r="C7" s="562"/>
      <c r="D7" s="295"/>
      <c r="E7" s="903" t="s">
        <v>707</v>
      </c>
      <c r="F7" s="903"/>
      <c r="G7" s="296"/>
      <c r="H7" s="296"/>
      <c r="I7" s="295">
        <f>D7-D10</f>
        <v>-917782.6</v>
      </c>
      <c r="J7" s="297"/>
    </row>
    <row r="8" spans="1:11" s="302" customFormat="1" ht="96.75" customHeight="1">
      <c r="A8" s="775" t="s">
        <v>266</v>
      </c>
      <c r="B8" s="298" t="s">
        <v>312</v>
      </c>
      <c r="C8" s="298" t="s">
        <v>499</v>
      </c>
      <c r="D8" s="775" t="s">
        <v>621</v>
      </c>
      <c r="E8" s="775" t="s">
        <v>622</v>
      </c>
      <c r="F8" s="775" t="s">
        <v>313</v>
      </c>
      <c r="G8" s="775" t="s">
        <v>71</v>
      </c>
      <c r="H8" s="775" t="s">
        <v>293</v>
      </c>
      <c r="I8" s="299"/>
      <c r="J8" s="300"/>
      <c r="K8" s="301"/>
    </row>
    <row r="9" spans="1:12" s="302" customFormat="1" ht="21" customHeight="1" hidden="1">
      <c r="A9" s="775" t="s">
        <v>267</v>
      </c>
      <c r="B9" s="298" t="s">
        <v>272</v>
      </c>
      <c r="C9" s="563"/>
      <c r="D9" s="775" t="s">
        <v>61</v>
      </c>
      <c r="E9" s="775">
        <v>2</v>
      </c>
      <c r="F9" s="775">
        <v>4</v>
      </c>
      <c r="G9" s="775"/>
      <c r="H9" s="775"/>
      <c r="I9" s="299"/>
      <c r="J9" s="304"/>
      <c r="K9" s="303"/>
      <c r="L9" s="305"/>
    </row>
    <row r="10" spans="1:13" ht="36.75" customHeight="1">
      <c r="A10" s="775"/>
      <c r="B10" s="306" t="s">
        <v>38</v>
      </c>
      <c r="C10" s="307">
        <f>C11+C120+C123+C132</f>
        <v>895519</v>
      </c>
      <c r="D10" s="307">
        <f>D11+D120+D123+D132</f>
        <v>917782.6</v>
      </c>
      <c r="E10" s="307">
        <f>E11+E120+E123+E132</f>
        <v>17617.403999999995</v>
      </c>
      <c r="F10" s="307">
        <f>F11+F120+F123+F132</f>
        <v>900165.196</v>
      </c>
      <c r="G10" s="308" t="e">
        <f>G11+G120+G123+#REF!</f>
        <v>#REF!</v>
      </c>
      <c r="H10" s="308" t="e">
        <f>H11+H120+H123+#REF!</f>
        <v>#REF!</v>
      </c>
      <c r="I10" s="309">
        <f>'[1]PL 01 (THU)'!F32</f>
        <v>808889</v>
      </c>
      <c r="J10" s="310">
        <f>I10-D10</f>
        <v>-108893.59999999998</v>
      </c>
      <c r="K10" s="311"/>
      <c r="L10" s="311"/>
      <c r="M10" s="311"/>
    </row>
    <row r="11" spans="1:13" ht="24" customHeight="1">
      <c r="A11" s="775" t="s">
        <v>267</v>
      </c>
      <c r="B11" s="306" t="s">
        <v>533</v>
      </c>
      <c r="C11" s="313">
        <f aca="true" t="shared" si="0" ref="C11:H11">C12+C14+C117</f>
        <v>748448</v>
      </c>
      <c r="D11" s="313">
        <f t="shared" si="0"/>
        <v>749376.6</v>
      </c>
      <c r="E11" s="313">
        <f t="shared" si="0"/>
        <v>17617.403999999995</v>
      </c>
      <c r="F11" s="313">
        <f t="shared" si="0"/>
        <v>731759.196</v>
      </c>
      <c r="G11" s="308" t="e">
        <f t="shared" si="0"/>
        <v>#REF!</v>
      </c>
      <c r="H11" s="308" t="e">
        <f t="shared" si="0"/>
        <v>#REF!</v>
      </c>
      <c r="I11" s="309">
        <f>J11-D11</f>
        <v>-83605.59999999998</v>
      </c>
      <c r="J11" s="314">
        <v>665771</v>
      </c>
      <c r="K11" s="311"/>
      <c r="M11" s="311"/>
    </row>
    <row r="12" spans="1:12" ht="21" customHeight="1">
      <c r="A12" s="786" t="s">
        <v>268</v>
      </c>
      <c r="B12" s="787" t="s">
        <v>228</v>
      </c>
      <c r="C12" s="788">
        <f>C13</f>
        <v>149053</v>
      </c>
      <c r="D12" s="784">
        <f>SUM(D13:D13)</f>
        <v>149053</v>
      </c>
      <c r="E12" s="784">
        <f>SUM(E13:E13)</f>
        <v>0</v>
      </c>
      <c r="F12" s="784">
        <f>SUM(F13:F13)</f>
        <v>149053</v>
      </c>
      <c r="G12" s="789">
        <f>SUM(G13:G13)</f>
        <v>0</v>
      </c>
      <c r="H12" s="789">
        <f>SUM(H13:H13)</f>
        <v>149053</v>
      </c>
      <c r="I12" s="790"/>
      <c r="J12" s="318">
        <v>102751</v>
      </c>
      <c r="K12" s="311"/>
      <c r="L12" s="311"/>
    </row>
    <row r="13" spans="1:11" ht="25.5" customHeight="1">
      <c r="A13" s="780"/>
      <c r="B13" s="791" t="s">
        <v>543</v>
      </c>
      <c r="C13" s="792">
        <f>PL02!C11</f>
        <v>149053</v>
      </c>
      <c r="D13" s="783">
        <f>C13</f>
        <v>149053</v>
      </c>
      <c r="E13" s="783"/>
      <c r="F13" s="783">
        <f>D13-E13</f>
        <v>149053</v>
      </c>
      <c r="G13" s="789"/>
      <c r="H13" s="789">
        <f>F13-G13</f>
        <v>149053</v>
      </c>
      <c r="I13" s="793"/>
      <c r="J13" s="322"/>
      <c r="K13" s="311"/>
    </row>
    <row r="14" spans="1:13" ht="24" customHeight="1">
      <c r="A14" s="315" t="s">
        <v>269</v>
      </c>
      <c r="B14" s="316" t="s">
        <v>229</v>
      </c>
      <c r="C14" s="307">
        <f>C15+C19+C33</f>
        <v>581395</v>
      </c>
      <c r="D14" s="307">
        <f>D15+D19+D33</f>
        <v>582323.6</v>
      </c>
      <c r="E14" s="307">
        <f>E15+E19+E33</f>
        <v>17617.403999999995</v>
      </c>
      <c r="F14" s="307">
        <f>F15+F19+F33</f>
        <v>564706.196</v>
      </c>
      <c r="G14" s="308" t="e">
        <f>G34+G15+G46+G19+G65+G66+G93+G96+G102+G104</f>
        <v>#REF!</v>
      </c>
      <c r="H14" s="308" t="e">
        <f>H34+H15+H46+H19+H65+H66+H93+H96+H102+H104</f>
        <v>#REF!</v>
      </c>
      <c r="I14" s="317">
        <f>J14-D14</f>
        <v>-34083.59999999998</v>
      </c>
      <c r="J14" s="323">
        <v>548240</v>
      </c>
      <c r="K14" s="311"/>
      <c r="L14" s="311"/>
      <c r="M14" s="311"/>
    </row>
    <row r="15" spans="1:11" s="324" customFormat="1" ht="25.5" customHeight="1">
      <c r="A15" s="786">
        <v>1</v>
      </c>
      <c r="B15" s="787" t="s">
        <v>500</v>
      </c>
      <c r="C15" s="784">
        <f>C16</f>
        <v>33568</v>
      </c>
      <c r="D15" s="784">
        <f>D16+D17</f>
        <v>33568</v>
      </c>
      <c r="E15" s="784">
        <f>E16+E17</f>
        <v>0</v>
      </c>
      <c r="F15" s="784">
        <f>F16+F17</f>
        <v>33568</v>
      </c>
      <c r="G15" s="789">
        <f>G16</f>
        <v>0</v>
      </c>
      <c r="H15" s="789">
        <f>H16</f>
        <v>33568</v>
      </c>
      <c r="I15" s="793"/>
      <c r="J15" s="794" t="e">
        <f>'[1]DVI SN'!#REF!</f>
        <v>#REF!</v>
      </c>
      <c r="K15" s="311">
        <f>D15-E15</f>
        <v>33568</v>
      </c>
    </row>
    <row r="16" spans="1:11" s="324" customFormat="1" ht="24" customHeight="1">
      <c r="A16" s="786"/>
      <c r="B16" s="781" t="s">
        <v>550</v>
      </c>
      <c r="C16" s="783">
        <v>33568</v>
      </c>
      <c r="D16" s="783">
        <v>33568</v>
      </c>
      <c r="E16" s="783">
        <v>0</v>
      </c>
      <c r="F16" s="783">
        <f>D16-E16</f>
        <v>33568</v>
      </c>
      <c r="G16" s="789"/>
      <c r="H16" s="789">
        <f>F16-G16</f>
        <v>33568</v>
      </c>
      <c r="I16" s="793"/>
      <c r="J16" s="327"/>
      <c r="K16" s="311">
        <f>D16-E16</f>
        <v>33568</v>
      </c>
    </row>
    <row r="17" spans="1:11" s="324" customFormat="1" ht="24" customHeight="1" hidden="1">
      <c r="A17" s="315"/>
      <c r="B17" s="325" t="s">
        <v>573</v>
      </c>
      <c r="C17" s="326"/>
      <c r="D17" s="321"/>
      <c r="E17" s="321"/>
      <c r="F17" s="321"/>
      <c r="G17" s="308"/>
      <c r="H17" s="308"/>
      <c r="I17" s="309"/>
      <c r="J17" s="327"/>
      <c r="K17" s="311">
        <f>D17-E17</f>
        <v>0</v>
      </c>
    </row>
    <row r="18" spans="1:11" s="324" customFormat="1" ht="24" customHeight="1" hidden="1">
      <c r="A18" s="315"/>
      <c r="B18" s="328" t="s">
        <v>683</v>
      </c>
      <c r="C18" s="326"/>
      <c r="D18" s="321"/>
      <c r="E18" s="321"/>
      <c r="F18" s="321"/>
      <c r="G18" s="308"/>
      <c r="H18" s="308"/>
      <c r="I18" s="309"/>
      <c r="J18" s="327"/>
      <c r="K18" s="311"/>
    </row>
    <row r="19" spans="1:12" ht="42" customHeight="1">
      <c r="A19" s="786">
        <v>2</v>
      </c>
      <c r="B19" s="787" t="s">
        <v>823</v>
      </c>
      <c r="C19" s="788">
        <f>PL02!C24</f>
        <v>257018</v>
      </c>
      <c r="D19" s="784">
        <f>D20+D27+D32</f>
        <v>257018</v>
      </c>
      <c r="E19" s="784">
        <f>E20+E27+E32</f>
        <v>7198.6039999999975</v>
      </c>
      <c r="F19" s="784">
        <f>F20+F27+F32</f>
        <v>249819.39599999998</v>
      </c>
      <c r="G19" s="789" t="e">
        <f>G20+G27+#REF!+#REF!</f>
        <v>#REF!</v>
      </c>
      <c r="H19" s="789" t="e">
        <f>H20+H27+#REF!+#REF!</f>
        <v>#REF!</v>
      </c>
      <c r="I19" s="793"/>
      <c r="J19" s="795"/>
      <c r="K19" s="311">
        <f>D19-E19</f>
        <v>249819.396</v>
      </c>
      <c r="L19" s="311"/>
    </row>
    <row r="20" spans="1:11" ht="25.5" customHeight="1">
      <c r="A20" s="786" t="s">
        <v>638</v>
      </c>
      <c r="B20" s="787" t="s">
        <v>242</v>
      </c>
      <c r="C20" s="788"/>
      <c r="D20" s="784">
        <f>SUM(D21:D23)+D26</f>
        <v>239630.96000000002</v>
      </c>
      <c r="E20" s="784">
        <f>SUM(E21:E23)+E26</f>
        <v>5576.2</v>
      </c>
      <c r="F20" s="784">
        <f>SUM(F21:F23)+F26</f>
        <v>234054.76</v>
      </c>
      <c r="G20" s="789">
        <f>SUM(G21:G22)</f>
        <v>6716</v>
      </c>
      <c r="H20" s="789">
        <f>SUM(H21:H22)</f>
        <v>222349.76</v>
      </c>
      <c r="I20" s="793"/>
      <c r="J20" s="311"/>
      <c r="K20" s="311">
        <f>D20-E20</f>
        <v>234054.76</v>
      </c>
    </row>
    <row r="21" spans="1:11" ht="42" customHeight="1">
      <c r="A21" s="780" t="s">
        <v>282</v>
      </c>
      <c r="B21" s="791" t="s">
        <v>574</v>
      </c>
      <c r="C21" s="782"/>
      <c r="D21" s="783">
        <f>'SN GIAODUC'!I14</f>
        <v>234364.96000000002</v>
      </c>
      <c r="E21" s="783">
        <f>'SN GIAODUC'!J14</f>
        <v>5299.2</v>
      </c>
      <c r="F21" s="783">
        <f>D21-E21</f>
        <v>229065.76</v>
      </c>
      <c r="G21" s="789">
        <v>6716</v>
      </c>
      <c r="H21" s="789">
        <f>F21-G21</f>
        <v>222349.76</v>
      </c>
      <c r="I21" s="793"/>
      <c r="K21" s="311">
        <f>D21-E21</f>
        <v>229065.76</v>
      </c>
    </row>
    <row r="22" spans="1:11" ht="24" customHeight="1">
      <c r="A22" s="780" t="s">
        <v>283</v>
      </c>
      <c r="B22" s="791" t="s">
        <v>818</v>
      </c>
      <c r="C22" s="796"/>
      <c r="D22" s="783">
        <f>'SN GIAODUC'!I64</f>
        <v>2200</v>
      </c>
      <c r="E22" s="783">
        <f>'SN GIAODUC'!J64</f>
        <v>220</v>
      </c>
      <c r="F22" s="783">
        <f>D22-E22</f>
        <v>1980</v>
      </c>
      <c r="G22" s="789"/>
      <c r="H22" s="789"/>
      <c r="I22" s="793"/>
      <c r="K22" s="311">
        <f>D22-E22</f>
        <v>1980</v>
      </c>
    </row>
    <row r="23" spans="1:11" ht="23.25" customHeight="1">
      <c r="A23" s="780" t="s">
        <v>316</v>
      </c>
      <c r="B23" s="781" t="s">
        <v>801</v>
      </c>
      <c r="C23" s="796"/>
      <c r="D23" s="783">
        <f>D24+D25</f>
        <v>420</v>
      </c>
      <c r="E23" s="783">
        <f>E24+E25</f>
        <v>0</v>
      </c>
      <c r="F23" s="783">
        <f>F24+F25</f>
        <v>420</v>
      </c>
      <c r="G23" s="789"/>
      <c r="H23" s="789"/>
      <c r="I23" s="793"/>
      <c r="K23" s="311"/>
    </row>
    <row r="24" spans="1:11" ht="23.25" customHeight="1">
      <c r="A24" s="786"/>
      <c r="B24" s="797" t="s">
        <v>421</v>
      </c>
      <c r="C24" s="796"/>
      <c r="D24" s="798">
        <f>'SN GIAODUC'!I66</f>
        <v>270</v>
      </c>
      <c r="E24" s="798"/>
      <c r="F24" s="783">
        <f>D24-E24</f>
        <v>270</v>
      </c>
      <c r="G24" s="789"/>
      <c r="H24" s="789"/>
      <c r="I24" s="793"/>
      <c r="K24" s="311"/>
    </row>
    <row r="25" spans="1:11" ht="23.25" customHeight="1">
      <c r="A25" s="786"/>
      <c r="B25" s="797" t="s">
        <v>685</v>
      </c>
      <c r="C25" s="796"/>
      <c r="D25" s="798">
        <f>'SN GIAODUC'!I67</f>
        <v>150</v>
      </c>
      <c r="E25" s="798"/>
      <c r="F25" s="783">
        <f>D25-E25</f>
        <v>150</v>
      </c>
      <c r="G25" s="789"/>
      <c r="H25" s="789"/>
      <c r="I25" s="793"/>
      <c r="K25" s="311"/>
    </row>
    <row r="26" spans="1:11" ht="37.5" customHeight="1">
      <c r="A26" s="780" t="s">
        <v>317</v>
      </c>
      <c r="B26" s="781" t="s">
        <v>66</v>
      </c>
      <c r="C26" s="799"/>
      <c r="D26" s="783">
        <f>'SN GIAODUC'!I68</f>
        <v>2646</v>
      </c>
      <c r="E26" s="783">
        <f>'SN GIAODUC'!J68</f>
        <v>57</v>
      </c>
      <c r="F26" s="783">
        <f>D26-E26</f>
        <v>2589</v>
      </c>
      <c r="G26" s="789"/>
      <c r="H26" s="789"/>
      <c r="I26" s="793"/>
      <c r="K26" s="311"/>
    </row>
    <row r="27" spans="1:13" ht="24" customHeight="1">
      <c r="A27" s="786" t="s">
        <v>639</v>
      </c>
      <c r="B27" s="787" t="s">
        <v>697</v>
      </c>
      <c r="C27" s="788"/>
      <c r="D27" s="784">
        <f>D28+D29</f>
        <v>1163</v>
      </c>
      <c r="E27" s="784">
        <f>E28+E29</f>
        <v>0</v>
      </c>
      <c r="F27" s="784">
        <f>F28+F29</f>
        <v>1163</v>
      </c>
      <c r="G27" s="789" t="e">
        <f>G29+#REF!</f>
        <v>#REF!</v>
      </c>
      <c r="H27" s="789" t="e">
        <f>H29+#REF!</f>
        <v>#REF!</v>
      </c>
      <c r="I27" s="789" t="e">
        <f>I29+#REF!</f>
        <v>#REF!</v>
      </c>
      <c r="J27" s="789" t="e">
        <f>J29+#REF!</f>
        <v>#REF!</v>
      </c>
      <c r="K27" s="789" t="e">
        <f>K29+#REF!</f>
        <v>#REF!</v>
      </c>
      <c r="L27" s="789" t="e">
        <f>L29+#REF!</f>
        <v>#REF!</v>
      </c>
      <c r="M27" s="789" t="e">
        <f>M29+#REF!</f>
        <v>#REF!</v>
      </c>
    </row>
    <row r="28" spans="1:13" ht="42" customHeight="1">
      <c r="A28" s="780"/>
      <c r="B28" s="791" t="s">
        <v>684</v>
      </c>
      <c r="C28" s="799"/>
      <c r="D28" s="783">
        <f>'SN GIAODUC'!I75</f>
        <v>1163</v>
      </c>
      <c r="E28" s="783"/>
      <c r="F28" s="783">
        <f>D28-E28</f>
        <v>1163</v>
      </c>
      <c r="G28" s="789"/>
      <c r="H28" s="789"/>
      <c r="I28" s="793"/>
      <c r="J28" s="793"/>
      <c r="K28" s="793"/>
      <c r="L28" s="793"/>
      <c r="M28" s="793"/>
    </row>
    <row r="29" spans="1:11" ht="24" customHeight="1" hidden="1">
      <c r="A29" s="780" t="s">
        <v>283</v>
      </c>
      <c r="B29" s="781" t="s">
        <v>65</v>
      </c>
      <c r="C29" s="788"/>
      <c r="D29" s="783">
        <f>D30+D31</f>
        <v>0</v>
      </c>
      <c r="E29" s="783">
        <f>E30+E31</f>
        <v>0</v>
      </c>
      <c r="F29" s="783">
        <f>F30+F31</f>
        <v>0</v>
      </c>
      <c r="G29" s="789"/>
      <c r="H29" s="789">
        <f>F29-G29</f>
        <v>0</v>
      </c>
      <c r="I29" s="793"/>
      <c r="K29" s="311">
        <f>D29-E29</f>
        <v>0</v>
      </c>
    </row>
    <row r="30" spans="1:11" ht="24" customHeight="1" hidden="1">
      <c r="A30" s="786"/>
      <c r="B30" s="797" t="s">
        <v>420</v>
      </c>
      <c r="C30" s="796"/>
      <c r="D30" s="798"/>
      <c r="E30" s="798"/>
      <c r="F30" s="783">
        <f>D30-E30</f>
        <v>0</v>
      </c>
      <c r="G30" s="789"/>
      <c r="H30" s="789">
        <f>F30-G30</f>
        <v>0</v>
      </c>
      <c r="I30" s="793"/>
      <c r="K30" s="311">
        <f>D30-E30</f>
        <v>0</v>
      </c>
    </row>
    <row r="31" spans="1:11" ht="24" customHeight="1" hidden="1">
      <c r="A31" s="786"/>
      <c r="B31" s="797" t="s">
        <v>685</v>
      </c>
      <c r="C31" s="796"/>
      <c r="D31" s="798"/>
      <c r="E31" s="798"/>
      <c r="F31" s="783">
        <f>D31-E31</f>
        <v>0</v>
      </c>
      <c r="G31" s="789"/>
      <c r="H31" s="789">
        <f>F31-G31</f>
        <v>0</v>
      </c>
      <c r="I31" s="793"/>
      <c r="K31" s="311">
        <f>D31-E31</f>
        <v>0</v>
      </c>
    </row>
    <row r="32" spans="1:11" s="330" customFormat="1" ht="24.75" customHeight="1">
      <c r="A32" s="786" t="s">
        <v>640</v>
      </c>
      <c r="B32" s="787" t="s">
        <v>520</v>
      </c>
      <c r="C32" s="800"/>
      <c r="D32" s="784">
        <f>'SN GIAODUC'!I76</f>
        <v>16224.039999999979</v>
      </c>
      <c r="E32" s="784">
        <f>'SN GIAODUC'!J76</f>
        <v>1622.403999999998</v>
      </c>
      <c r="F32" s="784">
        <f>D32-E32</f>
        <v>14601.63599999998</v>
      </c>
      <c r="G32" s="789"/>
      <c r="H32" s="789"/>
      <c r="I32" s="793"/>
      <c r="K32" s="331"/>
    </row>
    <row r="33" spans="1:11" s="330" customFormat="1" ht="24" customHeight="1">
      <c r="A33" s="315">
        <v>3</v>
      </c>
      <c r="B33" s="316" t="s">
        <v>641</v>
      </c>
      <c r="C33" s="307">
        <v>290809</v>
      </c>
      <c r="D33" s="307">
        <f>D34+D46+D65+D66+D93+D96+D102+D104</f>
        <v>291737.6</v>
      </c>
      <c r="E33" s="307">
        <f>E34+E46+E65+E66+E93+E96+E102+E104</f>
        <v>10418.8</v>
      </c>
      <c r="F33" s="307">
        <f>F34+F46+F65+F66+F93+F96+F102+F104</f>
        <v>281318.8</v>
      </c>
      <c r="G33" s="308"/>
      <c r="H33" s="308"/>
      <c r="I33" s="309"/>
      <c r="J33" s="314"/>
      <c r="K33" s="331"/>
    </row>
    <row r="34" spans="1:12" ht="22.5" customHeight="1">
      <c r="A34" s="315" t="s">
        <v>67</v>
      </c>
      <c r="B34" s="316" t="s">
        <v>644</v>
      </c>
      <c r="C34" s="564"/>
      <c r="D34" s="307">
        <f>D35+D38+D41+D42+D43+D44+D45</f>
        <v>49111</v>
      </c>
      <c r="E34" s="307">
        <f>E35+E38+E41+E42+E43+E44+E45</f>
        <v>2734.3</v>
      </c>
      <c r="F34" s="307">
        <f>F35+F38+F41+F42+F43+F44+F45</f>
        <v>46376.7</v>
      </c>
      <c r="G34" s="308">
        <f>G35+G38+G41+G42+G43+G44+G45</f>
        <v>0</v>
      </c>
      <c r="H34" s="308">
        <f>H35+H38+H41+H42+H43+H44+H45</f>
        <v>44838.7</v>
      </c>
      <c r="I34" s="309"/>
      <c r="J34" s="332" t="e">
        <f>'[1]DVI SN'!#REF!</f>
        <v>#REF!</v>
      </c>
      <c r="K34" s="311"/>
      <c r="L34" s="311"/>
    </row>
    <row r="35" spans="1:12" ht="24" customHeight="1">
      <c r="A35" s="319" t="s">
        <v>282</v>
      </c>
      <c r="B35" s="320" t="s">
        <v>642</v>
      </c>
      <c r="C35" s="565"/>
      <c r="D35" s="329">
        <f>D36+D37</f>
        <v>4767</v>
      </c>
      <c r="E35" s="329">
        <f>E36+E37</f>
        <v>439</v>
      </c>
      <c r="F35" s="329">
        <f>F36+F37</f>
        <v>4328</v>
      </c>
      <c r="G35" s="308"/>
      <c r="H35" s="308">
        <f>F35-G35</f>
        <v>4328</v>
      </c>
      <c r="I35" s="309"/>
      <c r="J35" s="322"/>
      <c r="K35" s="311"/>
      <c r="L35" s="311"/>
    </row>
    <row r="36" spans="1:12" ht="24" customHeight="1">
      <c r="A36" s="780"/>
      <c r="B36" s="801" t="s">
        <v>572</v>
      </c>
      <c r="C36" s="799"/>
      <c r="D36" s="798">
        <f>'DVI SN'!X34</f>
        <v>3500</v>
      </c>
      <c r="E36" s="798">
        <f>'DVI SN'!Y34</f>
        <v>350</v>
      </c>
      <c r="F36" s="798">
        <f>D36-E36</f>
        <v>3150</v>
      </c>
      <c r="G36" s="789"/>
      <c r="H36" s="789"/>
      <c r="I36" s="793"/>
      <c r="J36" s="322"/>
      <c r="K36" s="311"/>
      <c r="L36" s="311"/>
    </row>
    <row r="37" spans="1:12" ht="24" customHeight="1">
      <c r="A37" s="780"/>
      <c r="B37" s="801" t="s">
        <v>587</v>
      </c>
      <c r="C37" s="799"/>
      <c r="D37" s="798">
        <f>'DVI SN'!X35</f>
        <v>1267</v>
      </c>
      <c r="E37" s="798">
        <f>'DVI SN'!Y35</f>
        <v>89</v>
      </c>
      <c r="F37" s="798">
        <f>D37-E37</f>
        <v>1178</v>
      </c>
      <c r="G37" s="789"/>
      <c r="H37" s="789"/>
      <c r="I37" s="793"/>
      <c r="J37" s="322"/>
      <c r="K37" s="311"/>
      <c r="L37" s="311"/>
    </row>
    <row r="38" spans="1:12" ht="21" customHeight="1">
      <c r="A38" s="780" t="s">
        <v>283</v>
      </c>
      <c r="B38" s="791" t="s">
        <v>544</v>
      </c>
      <c r="C38" s="783"/>
      <c r="D38" s="802">
        <f>SUM(D39:D40)</f>
        <v>1561</v>
      </c>
      <c r="E38" s="802">
        <f>SUM(E39:E40)</f>
        <v>23</v>
      </c>
      <c r="F38" s="802">
        <f>SUM(F39:F40)</f>
        <v>1538</v>
      </c>
      <c r="G38" s="789">
        <f>SUM(G39:G40)</f>
        <v>0</v>
      </c>
      <c r="H38" s="789">
        <f>SUM(H39:H40)</f>
        <v>0</v>
      </c>
      <c r="I38" s="793"/>
      <c r="J38" s="332"/>
      <c r="K38" s="311"/>
      <c r="L38" s="311"/>
    </row>
    <row r="39" spans="1:11" ht="20.25" customHeight="1">
      <c r="A39" s="780"/>
      <c r="B39" s="797" t="s">
        <v>588</v>
      </c>
      <c r="C39" s="803"/>
      <c r="D39" s="798">
        <f>'DVI SN'!X39</f>
        <v>769</v>
      </c>
      <c r="E39" s="798">
        <f>'DVI SN'!Y39</f>
        <v>23</v>
      </c>
      <c r="F39" s="798">
        <f aca="true" t="shared" si="1" ref="F39:F45">D39-E39</f>
        <v>746</v>
      </c>
      <c r="G39" s="789"/>
      <c r="H39" s="789"/>
      <c r="I39" s="793"/>
      <c r="J39" s="322"/>
      <c r="K39" s="311"/>
    </row>
    <row r="40" spans="1:11" s="806" customFormat="1" ht="16.5">
      <c r="A40" s="804"/>
      <c r="B40" s="797" t="s">
        <v>589</v>
      </c>
      <c r="C40" s="803"/>
      <c r="D40" s="798">
        <f>'DVI SN'!X42</f>
        <v>792</v>
      </c>
      <c r="E40" s="798"/>
      <c r="F40" s="798">
        <f t="shared" si="1"/>
        <v>792</v>
      </c>
      <c r="G40" s="789"/>
      <c r="H40" s="789"/>
      <c r="I40" s="793"/>
      <c r="J40" s="805"/>
      <c r="K40" s="311"/>
    </row>
    <row r="41" spans="1:11" ht="23.25" customHeight="1">
      <c r="A41" s="780" t="s">
        <v>316</v>
      </c>
      <c r="B41" s="791" t="s">
        <v>545</v>
      </c>
      <c r="C41" s="782"/>
      <c r="D41" s="783">
        <f>'DVI SN'!X44</f>
        <v>450</v>
      </c>
      <c r="E41" s="783">
        <f>'DVI SN'!Y44</f>
        <v>50</v>
      </c>
      <c r="F41" s="783">
        <f t="shared" si="1"/>
        <v>400</v>
      </c>
      <c r="G41" s="789"/>
      <c r="H41" s="789">
        <f>F41-G41</f>
        <v>400</v>
      </c>
      <c r="I41" s="793"/>
      <c r="J41" s="322"/>
      <c r="K41" s="311">
        <f aca="true" t="shared" si="2" ref="K41:K92">D41-E41</f>
        <v>400</v>
      </c>
    </row>
    <row r="42" spans="1:11" ht="24" customHeight="1">
      <c r="A42" s="780" t="s">
        <v>317</v>
      </c>
      <c r="B42" s="791" t="s">
        <v>546</v>
      </c>
      <c r="C42" s="798"/>
      <c r="D42" s="783">
        <f>'DVI SN'!X46</f>
        <v>40000</v>
      </c>
      <c r="E42" s="783">
        <f>'DVI SN'!Y46</f>
        <v>2000</v>
      </c>
      <c r="F42" s="783">
        <f t="shared" si="1"/>
        <v>38000</v>
      </c>
      <c r="G42" s="789"/>
      <c r="H42" s="789">
        <f>F42-G42</f>
        <v>38000</v>
      </c>
      <c r="I42" s="793"/>
      <c r="J42" s="332" t="e">
        <f>'[1]DVI SN'!#REF!</f>
        <v>#REF!</v>
      </c>
      <c r="K42" s="311">
        <f t="shared" si="2"/>
        <v>38000</v>
      </c>
    </row>
    <row r="43" spans="1:11" ht="24" customHeight="1">
      <c r="A43" s="780" t="s">
        <v>77</v>
      </c>
      <c r="B43" s="791" t="s">
        <v>547</v>
      </c>
      <c r="C43" s="783"/>
      <c r="D43" s="783">
        <f>'DVI SN'!X48</f>
        <v>1100</v>
      </c>
      <c r="E43" s="783">
        <f>'DVI SN'!Y48</f>
        <v>100</v>
      </c>
      <c r="F43" s="783">
        <f t="shared" si="1"/>
        <v>1000</v>
      </c>
      <c r="G43" s="789"/>
      <c r="H43" s="789">
        <f>F43-G43</f>
        <v>1000</v>
      </c>
      <c r="I43" s="793"/>
      <c r="J43" s="322"/>
      <c r="K43" s="311">
        <f t="shared" si="2"/>
        <v>1000</v>
      </c>
    </row>
    <row r="44" spans="1:11" ht="22.5" customHeight="1">
      <c r="A44" s="780" t="s">
        <v>501</v>
      </c>
      <c r="B44" s="791" t="s">
        <v>548</v>
      </c>
      <c r="C44" s="782"/>
      <c r="D44" s="783">
        <v>110</v>
      </c>
      <c r="E44" s="783">
        <v>10</v>
      </c>
      <c r="F44" s="783">
        <f t="shared" si="1"/>
        <v>100</v>
      </c>
      <c r="G44" s="789"/>
      <c r="H44" s="789">
        <f>F44-G44</f>
        <v>100</v>
      </c>
      <c r="I44" s="793"/>
      <c r="J44" s="322"/>
      <c r="K44" s="311">
        <f t="shared" si="2"/>
        <v>100</v>
      </c>
    </row>
    <row r="45" spans="1:11" s="324" customFormat="1" ht="24.75" customHeight="1">
      <c r="A45" s="780" t="s">
        <v>78</v>
      </c>
      <c r="B45" s="791" t="s">
        <v>549</v>
      </c>
      <c r="C45" s="782"/>
      <c r="D45" s="783">
        <f>'DVI SN'!X52</f>
        <v>1123</v>
      </c>
      <c r="E45" s="783">
        <f>'DVI SN'!Y52</f>
        <v>112.30000000000001</v>
      </c>
      <c r="F45" s="783">
        <f t="shared" si="1"/>
        <v>1010.7</v>
      </c>
      <c r="G45" s="789"/>
      <c r="H45" s="789">
        <f>F45-G45</f>
        <v>1010.7</v>
      </c>
      <c r="I45" s="793"/>
      <c r="J45" s="327"/>
      <c r="K45" s="311">
        <f t="shared" si="2"/>
        <v>1010.7</v>
      </c>
    </row>
    <row r="46" spans="1:13" ht="39.75" customHeight="1">
      <c r="A46" s="315" t="s">
        <v>68</v>
      </c>
      <c r="B46" s="316" t="s">
        <v>551</v>
      </c>
      <c r="C46" s="313"/>
      <c r="D46" s="307">
        <f>D47+D58+D62</f>
        <v>6977</v>
      </c>
      <c r="E46" s="307">
        <f>E47+E58+E62</f>
        <v>323</v>
      </c>
      <c r="F46" s="307">
        <f>F47+F58+F62</f>
        <v>6654</v>
      </c>
      <c r="G46" s="308" t="e">
        <f>G47+G58+G62+#REF!</f>
        <v>#REF!</v>
      </c>
      <c r="H46" s="308" t="e">
        <f>H47+H58+H62+#REF!</f>
        <v>#REF!</v>
      </c>
      <c r="I46" s="309"/>
      <c r="J46" s="334" t="e">
        <f>'[1]DVI SN'!#REF!</f>
        <v>#REF!</v>
      </c>
      <c r="K46" s="311">
        <f t="shared" si="2"/>
        <v>6654</v>
      </c>
      <c r="L46" s="311">
        <f>D46-D49+30</f>
        <v>6707</v>
      </c>
      <c r="M46" s="311">
        <f>L46-E46</f>
        <v>6384</v>
      </c>
    </row>
    <row r="47" spans="1:13" ht="24" customHeight="1">
      <c r="A47" s="315" t="s">
        <v>643</v>
      </c>
      <c r="B47" s="316" t="s">
        <v>693</v>
      </c>
      <c r="C47" s="313"/>
      <c r="D47" s="307">
        <f>D48+D53</f>
        <v>4493</v>
      </c>
      <c r="E47" s="307">
        <f aca="true" t="shared" si="3" ref="E47:M47">E48+E53</f>
        <v>175.5</v>
      </c>
      <c r="F47" s="307">
        <f t="shared" si="3"/>
        <v>4317.5</v>
      </c>
      <c r="G47" s="308">
        <f t="shared" si="3"/>
        <v>457</v>
      </c>
      <c r="H47" s="308">
        <f t="shared" si="3"/>
        <v>3560.5</v>
      </c>
      <c r="I47" s="308">
        <f t="shared" si="3"/>
        <v>0</v>
      </c>
      <c r="J47" s="308">
        <f t="shared" si="3"/>
        <v>0</v>
      </c>
      <c r="K47" s="308">
        <f t="shared" si="3"/>
        <v>3076.5</v>
      </c>
      <c r="L47" s="308">
        <f t="shared" si="3"/>
        <v>0</v>
      </c>
      <c r="M47" s="308">
        <f t="shared" si="3"/>
        <v>0</v>
      </c>
    </row>
    <row r="48" spans="1:13" ht="38.25" customHeight="1">
      <c r="A48" s="319" t="s">
        <v>282</v>
      </c>
      <c r="B48" s="571" t="s">
        <v>824</v>
      </c>
      <c r="C48" s="313"/>
      <c r="D48" s="307">
        <f>D49+D50</f>
        <v>3252</v>
      </c>
      <c r="E48" s="307">
        <f aca="true" t="shared" si="4" ref="E48:M48">E49+E50</f>
        <v>175.5</v>
      </c>
      <c r="F48" s="307">
        <f t="shared" si="4"/>
        <v>3076.5</v>
      </c>
      <c r="G48" s="308">
        <f t="shared" si="4"/>
        <v>457</v>
      </c>
      <c r="H48" s="308">
        <f t="shared" si="4"/>
        <v>3560.5</v>
      </c>
      <c r="I48" s="308">
        <f t="shared" si="4"/>
        <v>0</v>
      </c>
      <c r="J48" s="308">
        <f t="shared" si="4"/>
        <v>0</v>
      </c>
      <c r="K48" s="308">
        <f t="shared" si="4"/>
        <v>3076.5</v>
      </c>
      <c r="L48" s="308">
        <f t="shared" si="4"/>
        <v>0</v>
      </c>
      <c r="M48" s="308">
        <f t="shared" si="4"/>
        <v>0</v>
      </c>
    </row>
    <row r="49" spans="1:11" ht="23.25" customHeight="1">
      <c r="A49" s="780"/>
      <c r="B49" s="781" t="s">
        <v>611</v>
      </c>
      <c r="C49" s="788"/>
      <c r="D49" s="783">
        <f>'DVI SN'!X16</f>
        <v>300</v>
      </c>
      <c r="E49" s="783"/>
      <c r="F49" s="783">
        <f>D49-E49</f>
        <v>300</v>
      </c>
      <c r="G49" s="789"/>
      <c r="H49" s="789">
        <f>F49-G49</f>
        <v>300</v>
      </c>
      <c r="I49" s="793"/>
      <c r="J49" s="322"/>
      <c r="K49" s="311">
        <f t="shared" si="2"/>
        <v>300</v>
      </c>
    </row>
    <row r="50" spans="1:11" ht="23.25" customHeight="1">
      <c r="A50" s="780"/>
      <c r="B50" s="781" t="s">
        <v>645</v>
      </c>
      <c r="C50" s="788"/>
      <c r="D50" s="802">
        <f>D51+D52</f>
        <v>2952</v>
      </c>
      <c r="E50" s="802">
        <f>E51+E52</f>
        <v>175.5</v>
      </c>
      <c r="F50" s="802">
        <f>F51+F52</f>
        <v>2776.5</v>
      </c>
      <c r="G50" s="789">
        <f>SUM(G51:G56)</f>
        <v>457</v>
      </c>
      <c r="H50" s="789">
        <f>SUM(H51:H56)</f>
        <v>3260.5</v>
      </c>
      <c r="I50" s="793"/>
      <c r="J50" s="334"/>
      <c r="K50" s="311">
        <f t="shared" si="2"/>
        <v>2776.5</v>
      </c>
    </row>
    <row r="51" spans="1:11" ht="23.25" customHeight="1">
      <c r="A51" s="786"/>
      <c r="B51" s="801" t="s">
        <v>612</v>
      </c>
      <c r="C51" s="800"/>
      <c r="D51" s="798">
        <f>'DVI SN'!S17+'DVI SN'!S26</f>
        <v>1197</v>
      </c>
      <c r="E51" s="798"/>
      <c r="F51" s="798">
        <f>D51-E51</f>
        <v>1197</v>
      </c>
      <c r="G51" s="789"/>
      <c r="H51" s="789">
        <f>F51-G51</f>
        <v>1197</v>
      </c>
      <c r="I51" s="793"/>
      <c r="J51" s="334"/>
      <c r="K51" s="311">
        <f t="shared" si="2"/>
        <v>1197</v>
      </c>
    </row>
    <row r="52" spans="1:11" ht="21" customHeight="1">
      <c r="A52" s="786"/>
      <c r="B52" s="801" t="s">
        <v>613</v>
      </c>
      <c r="C52" s="796"/>
      <c r="D52" s="798">
        <f>'DVI SN'!T17+'DVI SN'!T26+'DVI SN'!U22</f>
        <v>1755</v>
      </c>
      <c r="E52" s="798">
        <f>'DVI SN'!Y18+'DVI SN'!Y26+'DVI SN'!Y21</f>
        <v>175.5</v>
      </c>
      <c r="F52" s="798">
        <f>D52-E52</f>
        <v>1579.5</v>
      </c>
      <c r="G52" s="789">
        <f>322+135</f>
        <v>457</v>
      </c>
      <c r="H52" s="789">
        <f>F52-G52</f>
        <v>1122.5</v>
      </c>
      <c r="I52" s="793"/>
      <c r="K52" s="311">
        <f t="shared" si="2"/>
        <v>1579.5</v>
      </c>
    </row>
    <row r="53" spans="1:11" s="330" customFormat="1" ht="26.25" customHeight="1">
      <c r="A53" s="786" t="s">
        <v>283</v>
      </c>
      <c r="B53" s="807" t="s">
        <v>614</v>
      </c>
      <c r="C53" s="808"/>
      <c r="D53" s="784">
        <f>D54+D55+D56+D57</f>
        <v>1241</v>
      </c>
      <c r="E53" s="784">
        <f>E54+E55+E56+E57</f>
        <v>0</v>
      </c>
      <c r="F53" s="784">
        <f>F54+F55+F56+F57</f>
        <v>1241</v>
      </c>
      <c r="G53" s="789"/>
      <c r="H53" s="789"/>
      <c r="I53" s="793"/>
      <c r="K53" s="331"/>
    </row>
    <row r="54" spans="1:11" ht="25.5" customHeight="1" hidden="1">
      <c r="A54" s="786"/>
      <c r="B54" s="801" t="s">
        <v>615</v>
      </c>
      <c r="C54" s="796"/>
      <c r="D54" s="798"/>
      <c r="E54" s="798">
        <v>0</v>
      </c>
      <c r="F54" s="798">
        <f>D54</f>
        <v>0</v>
      </c>
      <c r="G54" s="789"/>
      <c r="H54" s="789"/>
      <c r="I54" s="793"/>
      <c r="K54" s="311"/>
    </row>
    <row r="55" spans="1:11" ht="22.5" customHeight="1">
      <c r="A55" s="786"/>
      <c r="B55" s="791" t="s">
        <v>819</v>
      </c>
      <c r="C55" s="782"/>
      <c r="D55" s="783">
        <v>171</v>
      </c>
      <c r="E55" s="783"/>
      <c r="F55" s="783">
        <f>D55-E55</f>
        <v>171</v>
      </c>
      <c r="G55" s="789"/>
      <c r="H55" s="789">
        <f>F55-G55</f>
        <v>171</v>
      </c>
      <c r="I55" s="793"/>
      <c r="J55" s="322"/>
      <c r="K55" s="311">
        <f t="shared" si="2"/>
        <v>171</v>
      </c>
    </row>
    <row r="56" spans="1:11" ht="45.75" customHeight="1">
      <c r="A56" s="786"/>
      <c r="B56" s="791" t="s">
        <v>820</v>
      </c>
      <c r="C56" s="788"/>
      <c r="D56" s="783">
        <v>770</v>
      </c>
      <c r="E56" s="783"/>
      <c r="F56" s="783">
        <f>D56-E56</f>
        <v>770</v>
      </c>
      <c r="G56" s="789"/>
      <c r="H56" s="789">
        <f>F56-G56</f>
        <v>770</v>
      </c>
      <c r="I56" s="793"/>
      <c r="J56" s="322"/>
      <c r="K56" s="311">
        <f t="shared" si="2"/>
        <v>770</v>
      </c>
    </row>
    <row r="57" spans="1:11" ht="27" customHeight="1">
      <c r="A57" s="786"/>
      <c r="B57" s="809" t="s">
        <v>664</v>
      </c>
      <c r="C57" s="788"/>
      <c r="D57" s="783">
        <v>300</v>
      </c>
      <c r="E57" s="783"/>
      <c r="F57" s="783">
        <f>D57-E57</f>
        <v>300</v>
      </c>
      <c r="G57" s="789"/>
      <c r="H57" s="789"/>
      <c r="I57" s="793"/>
      <c r="J57" s="322"/>
      <c r="K57" s="311"/>
    </row>
    <row r="58" spans="1:11" ht="53.25" customHeight="1">
      <c r="A58" s="315" t="s">
        <v>646</v>
      </c>
      <c r="B58" s="571" t="s">
        <v>825</v>
      </c>
      <c r="C58" s="313"/>
      <c r="D58" s="307">
        <f>D59+D60+D61</f>
        <v>1083</v>
      </c>
      <c r="E58" s="307">
        <f>E59+E60+E61</f>
        <v>68</v>
      </c>
      <c r="F58" s="307">
        <f>F59+F60+F61</f>
        <v>1015</v>
      </c>
      <c r="G58" s="308">
        <f>G59+G60</f>
        <v>135</v>
      </c>
      <c r="H58" s="308">
        <f>H59+H60</f>
        <v>880</v>
      </c>
      <c r="I58" s="309"/>
      <c r="J58" s="322"/>
      <c r="K58" s="311">
        <f t="shared" si="2"/>
        <v>1015</v>
      </c>
    </row>
    <row r="59" spans="1:11" ht="24.75" customHeight="1">
      <c r="A59" s="780"/>
      <c r="B59" s="791" t="s">
        <v>552</v>
      </c>
      <c r="C59" s="782"/>
      <c r="D59" s="783">
        <f>'DVI SN'!S30</f>
        <v>403</v>
      </c>
      <c r="E59" s="783"/>
      <c r="F59" s="783">
        <f>D59-E59</f>
        <v>403</v>
      </c>
      <c r="G59" s="810"/>
      <c r="H59" s="810">
        <f>F59-G59</f>
        <v>403</v>
      </c>
      <c r="I59" s="811"/>
      <c r="J59" s="322"/>
      <c r="K59" s="311">
        <f t="shared" si="2"/>
        <v>403</v>
      </c>
    </row>
    <row r="60" spans="1:11" ht="28.5" customHeight="1">
      <c r="A60" s="780"/>
      <c r="B60" s="791" t="s">
        <v>686</v>
      </c>
      <c r="C60" s="782"/>
      <c r="D60" s="783">
        <f>'DVI SN'!T31+'DVI SN'!U31</f>
        <v>680</v>
      </c>
      <c r="E60" s="783">
        <f>'DVI SN'!Y31</f>
        <v>68</v>
      </c>
      <c r="F60" s="783">
        <f>D60-E60</f>
        <v>612</v>
      </c>
      <c r="G60" s="810">
        <v>135</v>
      </c>
      <c r="H60" s="810">
        <f>F60-G60</f>
        <v>477</v>
      </c>
      <c r="I60" s="811"/>
      <c r="J60" s="322"/>
      <c r="K60" s="311">
        <f t="shared" si="2"/>
        <v>612</v>
      </c>
    </row>
    <row r="61" spans="1:11" ht="28.5" customHeight="1" hidden="1">
      <c r="A61" s="315"/>
      <c r="B61" s="333" t="s">
        <v>586</v>
      </c>
      <c r="C61" s="313"/>
      <c r="D61" s="326"/>
      <c r="E61" s="326"/>
      <c r="F61" s="326">
        <f>D61-E61</f>
        <v>0</v>
      </c>
      <c r="G61" s="335"/>
      <c r="H61" s="335"/>
      <c r="I61" s="336"/>
      <c r="J61" s="322"/>
      <c r="K61" s="311"/>
    </row>
    <row r="62" spans="1:11" ht="54" customHeight="1">
      <c r="A62" s="786" t="s">
        <v>647</v>
      </c>
      <c r="B62" s="812" t="s">
        <v>826</v>
      </c>
      <c r="C62" s="788"/>
      <c r="D62" s="784">
        <f>SUM(D63:D64)</f>
        <v>1401</v>
      </c>
      <c r="E62" s="784">
        <f>SUM(E63:E64)</f>
        <v>79.5</v>
      </c>
      <c r="F62" s="784">
        <f>SUM(F63:F64)</f>
        <v>1321.5</v>
      </c>
      <c r="G62" s="789">
        <v>45</v>
      </c>
      <c r="H62" s="789">
        <f>SUM(H63:H64)</f>
        <v>1276.5</v>
      </c>
      <c r="I62" s="793"/>
      <c r="J62" s="322"/>
      <c r="K62" s="311">
        <f t="shared" si="2"/>
        <v>1321.5</v>
      </c>
    </row>
    <row r="63" spans="1:11" ht="22.5" customHeight="1">
      <c r="A63" s="786"/>
      <c r="B63" s="791" t="s">
        <v>552</v>
      </c>
      <c r="C63" s="788"/>
      <c r="D63" s="783">
        <f>'DVI SN'!S28</f>
        <v>606</v>
      </c>
      <c r="E63" s="783"/>
      <c r="F63" s="783">
        <f>D63-E63</f>
        <v>606</v>
      </c>
      <c r="G63" s="789"/>
      <c r="H63" s="789">
        <f>F63-G63</f>
        <v>606</v>
      </c>
      <c r="I63" s="793"/>
      <c r="J63" s="322"/>
      <c r="K63" s="311">
        <f t="shared" si="2"/>
        <v>606</v>
      </c>
    </row>
    <row r="64" spans="1:11" ht="27.75" customHeight="1">
      <c r="A64" s="786"/>
      <c r="B64" s="791" t="s">
        <v>686</v>
      </c>
      <c r="C64" s="782"/>
      <c r="D64" s="783">
        <f>'DVI SN'!T28+'DVI SN'!U28</f>
        <v>795</v>
      </c>
      <c r="E64" s="783">
        <f>'DVI SN'!Y28</f>
        <v>79.5</v>
      </c>
      <c r="F64" s="783">
        <f>D64-E64</f>
        <v>715.5</v>
      </c>
      <c r="G64" s="789">
        <v>45</v>
      </c>
      <c r="H64" s="789">
        <f>F64-G64</f>
        <v>670.5</v>
      </c>
      <c r="I64" s="793"/>
      <c r="J64" s="322"/>
      <c r="K64" s="311">
        <f t="shared" si="2"/>
        <v>715.5</v>
      </c>
    </row>
    <row r="65" spans="1:11" ht="45.75" customHeight="1">
      <c r="A65" s="786" t="s">
        <v>69</v>
      </c>
      <c r="B65" s="787" t="s">
        <v>827</v>
      </c>
      <c r="C65" s="782"/>
      <c r="D65" s="784">
        <v>5000</v>
      </c>
      <c r="E65" s="784">
        <v>0</v>
      </c>
      <c r="F65" s="784">
        <f>D65-E65</f>
        <v>5000</v>
      </c>
      <c r="G65" s="789"/>
      <c r="H65" s="789">
        <f>F65-G65</f>
        <v>5000</v>
      </c>
      <c r="I65" s="793"/>
      <c r="K65" s="311">
        <f t="shared" si="2"/>
        <v>5000</v>
      </c>
    </row>
    <row r="66" spans="1:11" ht="24.75" customHeight="1">
      <c r="A66" s="786" t="s">
        <v>625</v>
      </c>
      <c r="B66" s="787" t="s">
        <v>232</v>
      </c>
      <c r="C66" s="788"/>
      <c r="D66" s="784">
        <f>D67+D72+D92</f>
        <v>51650</v>
      </c>
      <c r="E66" s="784">
        <f>E67+E72+E92</f>
        <v>1833</v>
      </c>
      <c r="F66" s="784">
        <f>D66-E66</f>
        <v>49817</v>
      </c>
      <c r="G66" s="789">
        <f>G67+G72+G92</f>
        <v>0</v>
      </c>
      <c r="H66" s="789">
        <f>H67+H72+H92</f>
        <v>48817</v>
      </c>
      <c r="I66" s="793"/>
      <c r="J66" s="311" t="e">
        <f>'[1]QLNN'!W14</f>
        <v>#REF!</v>
      </c>
      <c r="K66" s="311">
        <f t="shared" si="2"/>
        <v>49817</v>
      </c>
    </row>
    <row r="67" spans="1:11" ht="27" customHeight="1">
      <c r="A67" s="786" t="s">
        <v>648</v>
      </c>
      <c r="B67" s="787" t="s">
        <v>318</v>
      </c>
      <c r="C67" s="788"/>
      <c r="D67" s="784">
        <f>SUM(D68:D71)</f>
        <v>34923</v>
      </c>
      <c r="E67" s="784">
        <f>SUM(E68:E71)</f>
        <v>1378</v>
      </c>
      <c r="F67" s="784">
        <f>SUM(F68:F71)</f>
        <v>33545</v>
      </c>
      <c r="G67" s="789">
        <f>SUM(G68:G71)</f>
        <v>0</v>
      </c>
      <c r="H67" s="789">
        <f>SUM(H68:H71)</f>
        <v>33545</v>
      </c>
      <c r="I67" s="793"/>
      <c r="K67" s="311">
        <f t="shared" si="2"/>
        <v>33545</v>
      </c>
    </row>
    <row r="68" spans="1:11" ht="35.25" customHeight="1">
      <c r="A68" s="780"/>
      <c r="B68" s="791" t="s">
        <v>7</v>
      </c>
      <c r="C68" s="782"/>
      <c r="D68" s="783">
        <f>QLNN!G36</f>
        <v>22094</v>
      </c>
      <c r="E68" s="783">
        <f>QLNN!H36</f>
        <v>919.5</v>
      </c>
      <c r="F68" s="783">
        <f>D68-E68</f>
        <v>21174.5</v>
      </c>
      <c r="G68" s="789"/>
      <c r="H68" s="789">
        <f>F68-G68</f>
        <v>21174.5</v>
      </c>
      <c r="I68" s="793"/>
      <c r="J68" s="311"/>
      <c r="K68" s="311">
        <f t="shared" si="2"/>
        <v>21174.5</v>
      </c>
    </row>
    <row r="69" spans="1:11" ht="26.25" customHeight="1">
      <c r="A69" s="780"/>
      <c r="B69" s="791" t="s">
        <v>8</v>
      </c>
      <c r="C69" s="782"/>
      <c r="D69" s="783">
        <f>QLNN!G15</f>
        <v>7205</v>
      </c>
      <c r="E69" s="783">
        <f>QLNN!H15</f>
        <v>257.5</v>
      </c>
      <c r="F69" s="783">
        <f>D69-E69</f>
        <v>6947.5</v>
      </c>
      <c r="G69" s="789"/>
      <c r="H69" s="789">
        <f>F69-G69</f>
        <v>6947.5</v>
      </c>
      <c r="I69" s="793"/>
      <c r="K69" s="311">
        <f t="shared" si="2"/>
        <v>6947.5</v>
      </c>
    </row>
    <row r="70" spans="1:11" ht="36" customHeight="1">
      <c r="A70" s="780"/>
      <c r="B70" s="791" t="s">
        <v>9</v>
      </c>
      <c r="C70" s="782"/>
      <c r="D70" s="783">
        <f>QLNN!G20</f>
        <v>3793</v>
      </c>
      <c r="E70" s="783">
        <f>QLNN!H20</f>
        <v>144</v>
      </c>
      <c r="F70" s="783">
        <f>D70-E70</f>
        <v>3649</v>
      </c>
      <c r="G70" s="789"/>
      <c r="H70" s="789">
        <f>F70-G70</f>
        <v>3649</v>
      </c>
      <c r="I70" s="793"/>
      <c r="K70" s="311">
        <f t="shared" si="2"/>
        <v>3649</v>
      </c>
    </row>
    <row r="71" spans="1:11" ht="24" customHeight="1">
      <c r="A71" s="780"/>
      <c r="B71" s="791" t="s">
        <v>10</v>
      </c>
      <c r="C71" s="782"/>
      <c r="D71" s="783">
        <f>QLNN!G28</f>
        <v>1831</v>
      </c>
      <c r="E71" s="783">
        <f>QLNN!H28</f>
        <v>57</v>
      </c>
      <c r="F71" s="783">
        <f>D71-E71</f>
        <v>1774</v>
      </c>
      <c r="G71" s="789"/>
      <c r="H71" s="789">
        <f>F71-G71</f>
        <v>1774</v>
      </c>
      <c r="I71" s="793"/>
      <c r="K71" s="311">
        <f t="shared" si="2"/>
        <v>1774</v>
      </c>
    </row>
    <row r="72" spans="1:13" ht="24" customHeight="1">
      <c r="A72" s="786" t="s">
        <v>649</v>
      </c>
      <c r="B72" s="787" t="s">
        <v>319</v>
      </c>
      <c r="C72" s="788"/>
      <c r="D72" s="784">
        <f>SUM(D73:D91)-D74</f>
        <v>12547</v>
      </c>
      <c r="E72" s="784">
        <f>SUM(E73:E91)-E74</f>
        <v>37</v>
      </c>
      <c r="F72" s="784">
        <f>SUM(F73:F91)-F74</f>
        <v>12510</v>
      </c>
      <c r="G72" s="789">
        <f>SUM(G73:G91)-G74</f>
        <v>0</v>
      </c>
      <c r="H72" s="789">
        <f>SUM(H73:H91)-H74</f>
        <v>11510</v>
      </c>
      <c r="I72" s="793"/>
      <c r="J72" s="311">
        <f>'[1]DAC THU'!H9</f>
        <v>0</v>
      </c>
      <c r="K72" s="311">
        <f t="shared" si="2"/>
        <v>12510</v>
      </c>
      <c r="L72" s="311">
        <f>'[1]QLNN'!S14</f>
        <v>11061</v>
      </c>
      <c r="M72" s="311">
        <f>F72-L72</f>
        <v>1449</v>
      </c>
    </row>
    <row r="73" spans="1:11" s="290" customFormat="1" ht="21" customHeight="1">
      <c r="A73" s="780"/>
      <c r="B73" s="791" t="s">
        <v>11</v>
      </c>
      <c r="C73" s="782"/>
      <c r="D73" s="783">
        <f>'DAC THU'!D11</f>
        <v>2634</v>
      </c>
      <c r="E73" s="783"/>
      <c r="F73" s="783">
        <f>D73-E73</f>
        <v>2634</v>
      </c>
      <c r="G73" s="789"/>
      <c r="H73" s="789">
        <f aca="true" t="shared" si="5" ref="H73:H91">F73-G73</f>
        <v>2634</v>
      </c>
      <c r="I73" s="793">
        <f>10822-1261</f>
        <v>9561</v>
      </c>
      <c r="K73" s="311">
        <f t="shared" si="2"/>
        <v>2634</v>
      </c>
    </row>
    <row r="74" spans="1:11" s="290" customFormat="1" ht="21" customHeight="1">
      <c r="A74" s="780"/>
      <c r="B74" s="791" t="s">
        <v>12</v>
      </c>
      <c r="C74" s="799"/>
      <c r="D74" s="802">
        <f>SUM(D75:D80)</f>
        <v>336</v>
      </c>
      <c r="E74" s="802">
        <f>SUM(E75:E80)</f>
        <v>37</v>
      </c>
      <c r="F74" s="802">
        <f>SUM(F75:F80)</f>
        <v>299</v>
      </c>
      <c r="G74" s="789"/>
      <c r="H74" s="789">
        <f t="shared" si="5"/>
        <v>299</v>
      </c>
      <c r="I74" s="793"/>
      <c r="K74" s="311">
        <f t="shared" si="2"/>
        <v>299</v>
      </c>
    </row>
    <row r="75" spans="1:11" s="290" customFormat="1" ht="21" customHeight="1">
      <c r="A75" s="780"/>
      <c r="B75" s="813" t="s">
        <v>575</v>
      </c>
      <c r="C75" s="799"/>
      <c r="D75" s="798">
        <f>'PL 05'!T14</f>
        <v>104</v>
      </c>
      <c r="E75" s="798">
        <f>'PL 05'!U14</f>
        <v>14</v>
      </c>
      <c r="F75" s="798">
        <f aca="true" t="shared" si="6" ref="F75:F92">D75-E75</f>
        <v>90</v>
      </c>
      <c r="G75" s="789"/>
      <c r="H75" s="789">
        <f t="shared" si="5"/>
        <v>90</v>
      </c>
      <c r="I75" s="793"/>
      <c r="K75" s="311">
        <f t="shared" si="2"/>
        <v>90</v>
      </c>
    </row>
    <row r="76" spans="1:11" s="290" customFormat="1" ht="21" customHeight="1">
      <c r="A76" s="780"/>
      <c r="B76" s="813" t="s">
        <v>576</v>
      </c>
      <c r="C76" s="799"/>
      <c r="D76" s="798">
        <f>'PL 05'!T15</f>
        <v>108</v>
      </c>
      <c r="E76" s="798">
        <f>'PL 05'!U15</f>
        <v>8</v>
      </c>
      <c r="F76" s="798">
        <f t="shared" si="6"/>
        <v>100</v>
      </c>
      <c r="G76" s="789"/>
      <c r="H76" s="789">
        <f t="shared" si="5"/>
        <v>100</v>
      </c>
      <c r="I76" s="793"/>
      <c r="K76" s="311">
        <f t="shared" si="2"/>
        <v>100</v>
      </c>
    </row>
    <row r="77" spans="1:11" s="290" customFormat="1" ht="21" customHeight="1">
      <c r="A77" s="780"/>
      <c r="B77" s="813" t="s">
        <v>577</v>
      </c>
      <c r="C77" s="799"/>
      <c r="D77" s="798">
        <f>'PL 05'!T12</f>
        <v>27</v>
      </c>
      <c r="E77" s="798">
        <f>'PL 05'!U12</f>
        <v>4</v>
      </c>
      <c r="F77" s="798">
        <f t="shared" si="6"/>
        <v>23</v>
      </c>
      <c r="G77" s="789"/>
      <c r="H77" s="789">
        <f t="shared" si="5"/>
        <v>23</v>
      </c>
      <c r="I77" s="793"/>
      <c r="K77" s="311">
        <f t="shared" si="2"/>
        <v>23</v>
      </c>
    </row>
    <row r="78" spans="1:11" s="290" customFormat="1" ht="21" customHeight="1">
      <c r="A78" s="780"/>
      <c r="B78" s="813" t="s">
        <v>578</v>
      </c>
      <c r="C78" s="799"/>
      <c r="D78" s="798">
        <f>'PL 05'!T13</f>
        <v>59</v>
      </c>
      <c r="E78" s="798">
        <f>'PL 05'!U13</f>
        <v>7</v>
      </c>
      <c r="F78" s="798">
        <f t="shared" si="6"/>
        <v>52</v>
      </c>
      <c r="G78" s="789"/>
      <c r="H78" s="789">
        <f t="shared" si="5"/>
        <v>52</v>
      </c>
      <c r="I78" s="793"/>
      <c r="K78" s="311">
        <f t="shared" si="2"/>
        <v>52</v>
      </c>
    </row>
    <row r="79" spans="1:11" s="290" customFormat="1" ht="37.5" customHeight="1">
      <c r="A79" s="780"/>
      <c r="B79" s="797" t="s">
        <v>64</v>
      </c>
      <c r="C79" s="799"/>
      <c r="D79" s="798">
        <f>'[1]PL 05'!T54</f>
        <v>19</v>
      </c>
      <c r="E79" s="798">
        <f>'[1]PL 05'!U54</f>
        <v>2</v>
      </c>
      <c r="F79" s="798">
        <f t="shared" si="6"/>
        <v>17</v>
      </c>
      <c r="G79" s="789"/>
      <c r="H79" s="789">
        <f t="shared" si="5"/>
        <v>17</v>
      </c>
      <c r="I79" s="793"/>
      <c r="K79" s="311">
        <f t="shared" si="2"/>
        <v>17</v>
      </c>
    </row>
    <row r="80" spans="1:11" s="290" customFormat="1" ht="38.25" customHeight="1">
      <c r="A80" s="780"/>
      <c r="B80" s="801" t="s">
        <v>651</v>
      </c>
      <c r="C80" s="799"/>
      <c r="D80" s="798">
        <f>'[1]PL 05'!T55</f>
        <v>19</v>
      </c>
      <c r="E80" s="798">
        <f>'[1]PL 05'!U55</f>
        <v>2</v>
      </c>
      <c r="F80" s="798">
        <f t="shared" si="6"/>
        <v>17</v>
      </c>
      <c r="G80" s="789"/>
      <c r="H80" s="789">
        <f t="shared" si="5"/>
        <v>17</v>
      </c>
      <c r="I80" s="793"/>
      <c r="K80" s="311">
        <f t="shared" si="2"/>
        <v>17</v>
      </c>
    </row>
    <row r="81" spans="1:11" s="290" customFormat="1" ht="27.75" customHeight="1">
      <c r="A81" s="780"/>
      <c r="B81" s="791" t="s">
        <v>13</v>
      </c>
      <c r="C81" s="799"/>
      <c r="D81" s="783">
        <f>'DAC THU'!D13</f>
        <v>1230</v>
      </c>
      <c r="E81" s="783">
        <v>0</v>
      </c>
      <c r="F81" s="783">
        <f t="shared" si="6"/>
        <v>1230</v>
      </c>
      <c r="G81" s="789"/>
      <c r="H81" s="789">
        <f t="shared" si="5"/>
        <v>1230</v>
      </c>
      <c r="I81" s="793"/>
      <c r="K81" s="311">
        <f t="shared" si="2"/>
        <v>1230</v>
      </c>
    </row>
    <row r="82" spans="1:11" s="290" customFormat="1" ht="24" customHeight="1">
      <c r="A82" s="780"/>
      <c r="B82" s="791" t="s">
        <v>14</v>
      </c>
      <c r="C82" s="799"/>
      <c r="D82" s="783">
        <f>'DAC THU'!D25</f>
        <v>387</v>
      </c>
      <c r="E82" s="783"/>
      <c r="F82" s="783">
        <f t="shared" si="6"/>
        <v>387</v>
      </c>
      <c r="G82" s="789"/>
      <c r="H82" s="789">
        <f t="shared" si="5"/>
        <v>387</v>
      </c>
      <c r="I82" s="793"/>
      <c r="K82" s="311">
        <f t="shared" si="2"/>
        <v>387</v>
      </c>
    </row>
    <row r="83" spans="1:11" s="290" customFormat="1" ht="55.5" customHeight="1">
      <c r="A83" s="780"/>
      <c r="B83" s="814" t="s">
        <v>821</v>
      </c>
      <c r="C83" s="814"/>
      <c r="D83" s="783">
        <f>'DAC THU'!D40</f>
        <v>2000</v>
      </c>
      <c r="E83" s="783"/>
      <c r="F83" s="783">
        <f t="shared" si="6"/>
        <v>2000</v>
      </c>
      <c r="G83" s="789"/>
      <c r="H83" s="789">
        <f t="shared" si="5"/>
        <v>2000</v>
      </c>
      <c r="I83" s="793"/>
      <c r="K83" s="311">
        <f t="shared" si="2"/>
        <v>2000</v>
      </c>
    </row>
    <row r="84" spans="1:11" s="290" customFormat="1" ht="24.75" customHeight="1">
      <c r="A84" s="780"/>
      <c r="B84" s="791" t="s">
        <v>15</v>
      </c>
      <c r="C84" s="783"/>
      <c r="D84" s="783">
        <f>'DAC THU'!D41</f>
        <v>1800</v>
      </c>
      <c r="E84" s="783"/>
      <c r="F84" s="783">
        <f t="shared" si="6"/>
        <v>1800</v>
      </c>
      <c r="G84" s="789"/>
      <c r="H84" s="789">
        <f t="shared" si="5"/>
        <v>1800</v>
      </c>
      <c r="I84" s="793"/>
      <c r="K84" s="311">
        <f t="shared" si="2"/>
        <v>1800</v>
      </c>
    </row>
    <row r="85" spans="1:11" s="290" customFormat="1" ht="42" customHeight="1">
      <c r="A85" s="780"/>
      <c r="B85" s="791" t="s">
        <v>687</v>
      </c>
      <c r="C85" s="783"/>
      <c r="D85" s="783">
        <f>'DAC THU'!D43</f>
        <v>400</v>
      </c>
      <c r="E85" s="783"/>
      <c r="F85" s="783">
        <f t="shared" si="6"/>
        <v>400</v>
      </c>
      <c r="G85" s="789"/>
      <c r="H85" s="789">
        <f t="shared" si="5"/>
        <v>400</v>
      </c>
      <c r="I85" s="793"/>
      <c r="K85" s="311">
        <f t="shared" si="2"/>
        <v>400</v>
      </c>
    </row>
    <row r="86" spans="1:11" s="290" customFormat="1" ht="21" customHeight="1">
      <c r="A86" s="780"/>
      <c r="B86" s="791" t="s">
        <v>16</v>
      </c>
      <c r="C86" s="815"/>
      <c r="D86" s="783">
        <f>'DAC THU'!D45</f>
        <v>60</v>
      </c>
      <c r="E86" s="783"/>
      <c r="F86" s="783">
        <f t="shared" si="6"/>
        <v>60</v>
      </c>
      <c r="G86" s="789"/>
      <c r="H86" s="789">
        <f t="shared" si="5"/>
        <v>60</v>
      </c>
      <c r="I86" s="793"/>
      <c r="K86" s="311">
        <f t="shared" si="2"/>
        <v>60</v>
      </c>
    </row>
    <row r="87" spans="1:11" ht="23.25" customHeight="1">
      <c r="A87" s="780"/>
      <c r="B87" s="791" t="s">
        <v>17</v>
      </c>
      <c r="C87" s="815"/>
      <c r="D87" s="783">
        <f>'DAC THU'!D46</f>
        <v>2300</v>
      </c>
      <c r="E87" s="783"/>
      <c r="F87" s="783">
        <f t="shared" si="6"/>
        <v>2300</v>
      </c>
      <c r="G87" s="789"/>
      <c r="H87" s="789">
        <f t="shared" si="5"/>
        <v>2300</v>
      </c>
      <c r="I87" s="793"/>
      <c r="K87" s="311">
        <f t="shared" si="2"/>
        <v>2300</v>
      </c>
    </row>
    <row r="88" spans="1:11" s="290" customFormat="1" ht="21" customHeight="1">
      <c r="A88" s="780"/>
      <c r="B88" s="791" t="s">
        <v>18</v>
      </c>
      <c r="C88" s="783"/>
      <c r="D88" s="783">
        <f>'[1]DAC THU'!D39</f>
        <v>200</v>
      </c>
      <c r="E88" s="783"/>
      <c r="F88" s="783">
        <f t="shared" si="6"/>
        <v>200</v>
      </c>
      <c r="G88" s="789"/>
      <c r="H88" s="789">
        <f t="shared" si="5"/>
        <v>200</v>
      </c>
      <c r="I88" s="793"/>
      <c r="K88" s="311">
        <f t="shared" si="2"/>
        <v>200</v>
      </c>
    </row>
    <row r="89" spans="1:11" s="290" customFormat="1" ht="21" customHeight="1">
      <c r="A89" s="780"/>
      <c r="B89" s="791" t="s">
        <v>19</v>
      </c>
      <c r="C89" s="783"/>
      <c r="D89" s="783">
        <f>'[1]DAC THU'!D41</f>
        <v>100</v>
      </c>
      <c r="E89" s="783"/>
      <c r="F89" s="783">
        <f t="shared" si="6"/>
        <v>100</v>
      </c>
      <c r="G89" s="789"/>
      <c r="H89" s="789">
        <f t="shared" si="5"/>
        <v>100</v>
      </c>
      <c r="I89" s="793"/>
      <c r="K89" s="311">
        <f t="shared" si="2"/>
        <v>100</v>
      </c>
    </row>
    <row r="90" spans="1:11" s="290" customFormat="1" ht="40.5" customHeight="1">
      <c r="A90" s="780"/>
      <c r="B90" s="816" t="s">
        <v>822</v>
      </c>
      <c r="C90" s="817"/>
      <c r="D90" s="783">
        <v>1000</v>
      </c>
      <c r="E90" s="783"/>
      <c r="F90" s="783">
        <f t="shared" si="6"/>
        <v>1000</v>
      </c>
      <c r="G90" s="789"/>
      <c r="H90" s="789"/>
      <c r="I90" s="793"/>
      <c r="K90" s="311"/>
    </row>
    <row r="91" spans="1:11" s="290" customFormat="1" ht="63" customHeight="1">
      <c r="A91" s="780"/>
      <c r="B91" s="791" t="s">
        <v>688</v>
      </c>
      <c r="C91" s="783"/>
      <c r="D91" s="783">
        <f>'DAC THU'!D51</f>
        <v>100</v>
      </c>
      <c r="E91" s="783"/>
      <c r="F91" s="783">
        <f t="shared" si="6"/>
        <v>100</v>
      </c>
      <c r="G91" s="789"/>
      <c r="H91" s="789">
        <f t="shared" si="5"/>
        <v>100</v>
      </c>
      <c r="I91" s="793"/>
      <c r="K91" s="311">
        <f t="shared" si="2"/>
        <v>100</v>
      </c>
    </row>
    <row r="92" spans="1:11" s="818" customFormat="1" ht="35.25" customHeight="1">
      <c r="A92" s="786" t="s">
        <v>650</v>
      </c>
      <c r="B92" s="787" t="s">
        <v>803</v>
      </c>
      <c r="C92" s="784"/>
      <c r="D92" s="784">
        <f>QLNN!G70</f>
        <v>4180</v>
      </c>
      <c r="E92" s="784">
        <f>QLNN!H70</f>
        <v>418</v>
      </c>
      <c r="F92" s="784">
        <f t="shared" si="6"/>
        <v>3762</v>
      </c>
      <c r="G92" s="789"/>
      <c r="H92" s="789">
        <f>F92-G92</f>
        <v>3762</v>
      </c>
      <c r="I92" s="793"/>
      <c r="K92" s="311">
        <f t="shared" si="2"/>
        <v>3762</v>
      </c>
    </row>
    <row r="93" spans="1:11" s="302" customFormat="1" ht="27" customHeight="1">
      <c r="A93" s="786" t="s">
        <v>626</v>
      </c>
      <c r="B93" s="787" t="s">
        <v>231</v>
      </c>
      <c r="C93" s="788"/>
      <c r="D93" s="784">
        <f>D94+D95</f>
        <v>43858</v>
      </c>
      <c r="E93" s="784">
        <f>E94+E95</f>
        <v>186</v>
      </c>
      <c r="F93" s="784">
        <f>F94+F95</f>
        <v>43672</v>
      </c>
      <c r="G93" s="789">
        <f>G94+G95</f>
        <v>0</v>
      </c>
      <c r="H93" s="789">
        <f>H94+H95</f>
        <v>43672</v>
      </c>
      <c r="I93" s="793"/>
      <c r="J93" s="303" t="e">
        <f>'[1]DVI SN'!#REF!</f>
        <v>#REF!</v>
      </c>
      <c r="K93" s="311">
        <f aca="true" t="shared" si="7" ref="K93:K124">D93-E93</f>
        <v>43672</v>
      </c>
    </row>
    <row r="94" spans="1:11" ht="21.75" customHeight="1">
      <c r="A94" s="786"/>
      <c r="B94" s="781" t="s">
        <v>324</v>
      </c>
      <c r="C94" s="819"/>
      <c r="D94" s="783">
        <f>'DVI SN'!U58</f>
        <v>42000</v>
      </c>
      <c r="E94" s="783">
        <v>0</v>
      </c>
      <c r="F94" s="783">
        <f>D94-E94</f>
        <v>42000</v>
      </c>
      <c r="G94" s="789"/>
      <c r="H94" s="789">
        <f>F94-G94</f>
        <v>42000</v>
      </c>
      <c r="I94" s="793"/>
      <c r="K94" s="311">
        <f t="shared" si="7"/>
        <v>42000</v>
      </c>
    </row>
    <row r="95" spans="1:11" ht="38.25" customHeight="1">
      <c r="A95" s="786"/>
      <c r="B95" s="820" t="s">
        <v>806</v>
      </c>
      <c r="C95" s="819"/>
      <c r="D95" s="783">
        <f>'DVI SN'!U59</f>
        <v>1858</v>
      </c>
      <c r="E95" s="783">
        <f>'DVI SN'!Y59</f>
        <v>186</v>
      </c>
      <c r="F95" s="783">
        <f>D95-E95</f>
        <v>1672</v>
      </c>
      <c r="G95" s="789"/>
      <c r="H95" s="789">
        <f>F95-G95</f>
        <v>1672</v>
      </c>
      <c r="I95" s="793"/>
      <c r="J95" s="311"/>
      <c r="K95" s="311">
        <f t="shared" si="7"/>
        <v>1672</v>
      </c>
    </row>
    <row r="96" spans="1:11" ht="23.25" customHeight="1">
      <c r="A96" s="786" t="s">
        <v>627</v>
      </c>
      <c r="B96" s="787" t="s">
        <v>230</v>
      </c>
      <c r="C96" s="788"/>
      <c r="D96" s="784">
        <f>D97+D99</f>
        <v>11767</v>
      </c>
      <c r="E96" s="784">
        <f>E97+E99</f>
        <v>1176.7</v>
      </c>
      <c r="F96" s="784">
        <f>F97+F99</f>
        <v>10590.300000000001</v>
      </c>
      <c r="G96" s="789">
        <f>G97+G99</f>
        <v>0</v>
      </c>
      <c r="H96" s="789">
        <f>H97+H99</f>
        <v>10590.300000000001</v>
      </c>
      <c r="I96" s="793"/>
      <c r="J96" s="311" t="e">
        <f>'[1]DVI SN'!#REF!+'[1]DVI SN'!#REF!</f>
        <v>#REF!</v>
      </c>
      <c r="K96" s="311">
        <f t="shared" si="7"/>
        <v>10590.3</v>
      </c>
    </row>
    <row r="97" spans="1:11" ht="23.25" customHeight="1">
      <c r="A97" s="786" t="s">
        <v>282</v>
      </c>
      <c r="B97" s="787" t="s">
        <v>828</v>
      </c>
      <c r="C97" s="782"/>
      <c r="D97" s="784">
        <f>D98</f>
        <v>1703</v>
      </c>
      <c r="E97" s="784">
        <f>E98</f>
        <v>170.3</v>
      </c>
      <c r="F97" s="784">
        <f>F98</f>
        <v>1532.7</v>
      </c>
      <c r="G97" s="789">
        <f>G98</f>
        <v>0</v>
      </c>
      <c r="H97" s="789">
        <f>H98</f>
        <v>1532.7</v>
      </c>
      <c r="I97" s="793"/>
      <c r="K97" s="311">
        <f t="shared" si="7"/>
        <v>1532.7</v>
      </c>
    </row>
    <row r="98" spans="1:11" ht="36" customHeight="1">
      <c r="A98" s="786"/>
      <c r="B98" s="781" t="s">
        <v>805</v>
      </c>
      <c r="C98" s="782"/>
      <c r="D98" s="783">
        <f>'DVI SN'!U62</f>
        <v>1703</v>
      </c>
      <c r="E98" s="783">
        <f>'DVI SN'!Y62</f>
        <v>170.3</v>
      </c>
      <c r="F98" s="783">
        <f>D98-E98</f>
        <v>1532.7</v>
      </c>
      <c r="G98" s="789"/>
      <c r="H98" s="789">
        <f>F98-G98</f>
        <v>1532.7</v>
      </c>
      <c r="I98" s="793"/>
      <c r="K98" s="311">
        <f t="shared" si="7"/>
        <v>1532.7</v>
      </c>
    </row>
    <row r="99" spans="1:11" ht="21.75" customHeight="1">
      <c r="A99" s="786" t="s">
        <v>283</v>
      </c>
      <c r="B99" s="787" t="s">
        <v>241</v>
      </c>
      <c r="C99" s="782"/>
      <c r="D99" s="784">
        <f>SUM(D100:D101)</f>
        <v>10064</v>
      </c>
      <c r="E99" s="784">
        <f>SUM(E100:E101)</f>
        <v>1006.4000000000001</v>
      </c>
      <c r="F99" s="784">
        <f>SUM(F100:F101)</f>
        <v>9057.6</v>
      </c>
      <c r="G99" s="789">
        <f>SUM(G100:G101)</f>
        <v>0</v>
      </c>
      <c r="H99" s="789">
        <f>SUM(H100:H101)</f>
        <v>9057.6</v>
      </c>
      <c r="I99" s="793"/>
      <c r="K99" s="311">
        <f t="shared" si="7"/>
        <v>9057.6</v>
      </c>
    </row>
    <row r="100" spans="1:11" ht="24.75" customHeight="1" hidden="1">
      <c r="A100" s="786"/>
      <c r="B100" s="791" t="s">
        <v>325</v>
      </c>
      <c r="C100" s="821"/>
      <c r="D100" s="783"/>
      <c r="E100" s="783"/>
      <c r="F100" s="783">
        <f>D100-E100</f>
        <v>0</v>
      </c>
      <c r="G100" s="789"/>
      <c r="H100" s="789">
        <f>F100-G100</f>
        <v>0</v>
      </c>
      <c r="I100" s="793"/>
      <c r="K100" s="311">
        <f t="shared" si="7"/>
        <v>0</v>
      </c>
    </row>
    <row r="101" spans="1:11" ht="34.5" customHeight="1">
      <c r="A101" s="780"/>
      <c r="B101" s="781" t="s">
        <v>804</v>
      </c>
      <c r="C101" s="784"/>
      <c r="D101" s="783">
        <f>'DVI SN'!U63</f>
        <v>10064</v>
      </c>
      <c r="E101" s="783">
        <f>'DVI SN'!Y63</f>
        <v>1006.4000000000001</v>
      </c>
      <c r="F101" s="783">
        <f>D101-E101</f>
        <v>9057.6</v>
      </c>
      <c r="G101" s="789"/>
      <c r="H101" s="789">
        <f>F101-G101</f>
        <v>9057.6</v>
      </c>
      <c r="I101" s="793"/>
      <c r="K101" s="311">
        <f t="shared" si="7"/>
        <v>9057.6</v>
      </c>
    </row>
    <row r="102" spans="1:11" ht="24.75" customHeight="1">
      <c r="A102" s="315" t="s">
        <v>628</v>
      </c>
      <c r="B102" s="316" t="s">
        <v>496</v>
      </c>
      <c r="C102" s="564"/>
      <c r="D102" s="307">
        <f>D103</f>
        <v>111335</v>
      </c>
      <c r="E102" s="307">
        <f>E103</f>
        <v>3208</v>
      </c>
      <c r="F102" s="307">
        <f>F103</f>
        <v>108127</v>
      </c>
      <c r="G102" s="308">
        <f>G103</f>
        <v>0</v>
      </c>
      <c r="H102" s="308">
        <f>H103</f>
        <v>108127</v>
      </c>
      <c r="I102" s="309"/>
      <c r="K102" s="311">
        <f t="shared" si="7"/>
        <v>108127</v>
      </c>
    </row>
    <row r="103" spans="1:11" ht="24.75" customHeight="1">
      <c r="A103" s="319"/>
      <c r="B103" s="325" t="s">
        <v>315</v>
      </c>
      <c r="C103" s="564"/>
      <c r="D103" s="321">
        <v>111335</v>
      </c>
      <c r="E103" s="321">
        <f>PL07!E19</f>
        <v>3208</v>
      </c>
      <c r="F103" s="321">
        <f>D103-E103</f>
        <v>108127</v>
      </c>
      <c r="G103" s="308"/>
      <c r="H103" s="308">
        <f>F103-G103</f>
        <v>108127</v>
      </c>
      <c r="I103" s="309"/>
      <c r="K103" s="311">
        <f t="shared" si="7"/>
        <v>108127</v>
      </c>
    </row>
    <row r="104" spans="1:11" ht="24.75" customHeight="1">
      <c r="A104" s="786" t="s">
        <v>629</v>
      </c>
      <c r="B104" s="787" t="s">
        <v>419</v>
      </c>
      <c r="C104" s="788"/>
      <c r="D104" s="784">
        <f>D105+D116</f>
        <v>12039.6</v>
      </c>
      <c r="E104" s="784">
        <f>E105+E116</f>
        <v>957.8000000000001</v>
      </c>
      <c r="F104" s="784">
        <f>F105+F116</f>
        <v>11081.800000000001</v>
      </c>
      <c r="G104" s="789" t="e">
        <f>#REF!+G105+G116</f>
        <v>#REF!</v>
      </c>
      <c r="H104" s="789" t="e">
        <f>#REF!+H105+H116</f>
        <v>#REF!</v>
      </c>
      <c r="I104" s="793"/>
      <c r="K104" s="311">
        <f t="shared" si="7"/>
        <v>11081.800000000001</v>
      </c>
    </row>
    <row r="105" spans="1:11" ht="27" customHeight="1">
      <c r="A105" s="780" t="s">
        <v>282</v>
      </c>
      <c r="B105" s="781" t="s">
        <v>262</v>
      </c>
      <c r="C105" s="799"/>
      <c r="D105" s="802">
        <f>D106+D107+D108+D109</f>
        <v>2461.6</v>
      </c>
      <c r="E105" s="802"/>
      <c r="F105" s="802">
        <f aca="true" t="shared" si="8" ref="F105:F115">D105-E105</f>
        <v>2461.6</v>
      </c>
      <c r="G105" s="789"/>
      <c r="H105" s="789">
        <f aca="true" t="shared" si="9" ref="H105:H116">F105-G105</f>
        <v>2461.6</v>
      </c>
      <c r="I105" s="793"/>
      <c r="J105" s="311">
        <f>F105+J114</f>
        <v>2461.6</v>
      </c>
      <c r="K105" s="311">
        <f t="shared" si="7"/>
        <v>2461.6</v>
      </c>
    </row>
    <row r="106" spans="1:12" ht="30" customHeight="1">
      <c r="A106" s="780"/>
      <c r="B106" s="822" t="s">
        <v>20</v>
      </c>
      <c r="C106" s="782"/>
      <c r="D106" s="783">
        <f>ATGT!F14</f>
        <v>2056.6</v>
      </c>
      <c r="E106" s="783"/>
      <c r="F106" s="783">
        <f t="shared" si="8"/>
        <v>2056.6</v>
      </c>
      <c r="G106" s="789"/>
      <c r="H106" s="789">
        <f t="shared" si="9"/>
        <v>2056.6</v>
      </c>
      <c r="I106" s="793"/>
      <c r="K106" s="311">
        <f t="shared" si="7"/>
        <v>2056.6</v>
      </c>
      <c r="L106" s="311">
        <f>F105+118</f>
        <v>2579.6</v>
      </c>
    </row>
    <row r="107" spans="1:11" ht="33" customHeight="1">
      <c r="A107" s="780"/>
      <c r="B107" s="822" t="s">
        <v>689</v>
      </c>
      <c r="C107" s="819"/>
      <c r="D107" s="783">
        <f>ATGT!F28</f>
        <v>100</v>
      </c>
      <c r="E107" s="783"/>
      <c r="F107" s="783">
        <f t="shared" si="8"/>
        <v>100</v>
      </c>
      <c r="G107" s="789"/>
      <c r="H107" s="789">
        <f t="shared" si="9"/>
        <v>100</v>
      </c>
      <c r="I107" s="793"/>
      <c r="K107" s="311">
        <f t="shared" si="7"/>
        <v>100</v>
      </c>
    </row>
    <row r="108" spans="1:11" ht="30.75" customHeight="1">
      <c r="A108" s="780"/>
      <c r="B108" s="822" t="s">
        <v>690</v>
      </c>
      <c r="C108" s="819"/>
      <c r="D108" s="783">
        <f>ATGT!F31</f>
        <v>100</v>
      </c>
      <c r="E108" s="783"/>
      <c r="F108" s="783">
        <f t="shared" si="8"/>
        <v>100</v>
      </c>
      <c r="G108" s="789"/>
      <c r="H108" s="789">
        <f t="shared" si="9"/>
        <v>100</v>
      </c>
      <c r="I108" s="793"/>
      <c r="K108" s="311">
        <f t="shared" si="7"/>
        <v>100</v>
      </c>
    </row>
    <row r="109" spans="1:11" ht="18" customHeight="1">
      <c r="A109" s="780"/>
      <c r="B109" s="822" t="s">
        <v>21</v>
      </c>
      <c r="C109" s="819"/>
      <c r="D109" s="802">
        <f>SUM(D110:D115)</f>
        <v>205</v>
      </c>
      <c r="E109" s="802"/>
      <c r="F109" s="802">
        <f t="shared" si="8"/>
        <v>205</v>
      </c>
      <c r="G109" s="789"/>
      <c r="H109" s="789">
        <f t="shared" si="9"/>
        <v>205</v>
      </c>
      <c r="I109" s="793"/>
      <c r="K109" s="311">
        <f t="shared" si="7"/>
        <v>205</v>
      </c>
    </row>
    <row r="110" spans="1:11" ht="16.5">
      <c r="A110" s="780"/>
      <c r="B110" s="823" t="s">
        <v>605</v>
      </c>
      <c r="C110" s="824"/>
      <c r="D110" s="798">
        <f>ATGT!F35</f>
        <v>50</v>
      </c>
      <c r="E110" s="798"/>
      <c r="F110" s="783">
        <f t="shared" si="8"/>
        <v>50</v>
      </c>
      <c r="G110" s="789"/>
      <c r="H110" s="789">
        <f t="shared" si="9"/>
        <v>50</v>
      </c>
      <c r="I110" s="793"/>
      <c r="K110" s="311">
        <f t="shared" si="7"/>
        <v>50</v>
      </c>
    </row>
    <row r="111" spans="1:11" ht="16.5">
      <c r="A111" s="780"/>
      <c r="B111" s="823" t="s">
        <v>606</v>
      </c>
      <c r="C111" s="824"/>
      <c r="D111" s="798">
        <f>ATGT!F36</f>
        <v>40</v>
      </c>
      <c r="E111" s="798"/>
      <c r="F111" s="783">
        <f t="shared" si="8"/>
        <v>40</v>
      </c>
      <c r="G111" s="789"/>
      <c r="H111" s="789">
        <f t="shared" si="9"/>
        <v>40</v>
      </c>
      <c r="I111" s="793"/>
      <c r="K111" s="311">
        <f t="shared" si="7"/>
        <v>40</v>
      </c>
    </row>
    <row r="112" spans="1:11" ht="31.5">
      <c r="A112" s="780"/>
      <c r="B112" s="823" t="s">
        <v>691</v>
      </c>
      <c r="C112" s="824"/>
      <c r="D112" s="798">
        <f>ATGT!F37</f>
        <v>30</v>
      </c>
      <c r="E112" s="798"/>
      <c r="F112" s="783">
        <f t="shared" si="8"/>
        <v>30</v>
      </c>
      <c r="G112" s="789"/>
      <c r="H112" s="789">
        <f t="shared" si="9"/>
        <v>30</v>
      </c>
      <c r="I112" s="793"/>
      <c r="K112" s="311">
        <f t="shared" si="7"/>
        <v>30</v>
      </c>
    </row>
    <row r="113" spans="1:11" ht="16.5">
      <c r="A113" s="780"/>
      <c r="B113" s="823" t="s">
        <v>607</v>
      </c>
      <c r="C113" s="824"/>
      <c r="D113" s="798">
        <f>ATGT!F38</f>
        <v>35</v>
      </c>
      <c r="E113" s="798"/>
      <c r="F113" s="783">
        <f t="shared" si="8"/>
        <v>35</v>
      </c>
      <c r="G113" s="789"/>
      <c r="H113" s="789">
        <f t="shared" si="9"/>
        <v>35</v>
      </c>
      <c r="I113" s="793"/>
      <c r="K113" s="311">
        <f t="shared" si="7"/>
        <v>35</v>
      </c>
    </row>
    <row r="114" spans="1:11" ht="20.25" customHeight="1">
      <c r="A114" s="780"/>
      <c r="B114" s="823" t="s">
        <v>692</v>
      </c>
      <c r="C114" s="819"/>
      <c r="D114" s="798">
        <v>0</v>
      </c>
      <c r="E114" s="798"/>
      <c r="F114" s="783">
        <f t="shared" si="8"/>
        <v>0</v>
      </c>
      <c r="G114" s="789"/>
      <c r="H114" s="789">
        <f t="shared" si="9"/>
        <v>0</v>
      </c>
      <c r="I114" s="793"/>
      <c r="J114" s="337"/>
      <c r="K114" s="311">
        <f t="shared" si="7"/>
        <v>0</v>
      </c>
    </row>
    <row r="115" spans="1:11" ht="18.75" customHeight="1">
      <c r="A115" s="780"/>
      <c r="B115" s="825" t="s">
        <v>608</v>
      </c>
      <c r="C115" s="826"/>
      <c r="D115" s="798">
        <f>ATGT!F40</f>
        <v>50</v>
      </c>
      <c r="E115" s="798"/>
      <c r="F115" s="783">
        <f t="shared" si="8"/>
        <v>50</v>
      </c>
      <c r="G115" s="789"/>
      <c r="H115" s="789">
        <f t="shared" si="9"/>
        <v>50</v>
      </c>
      <c r="I115" s="793"/>
      <c r="K115" s="311">
        <f t="shared" si="7"/>
        <v>50</v>
      </c>
    </row>
    <row r="116" spans="1:13" ht="26.25" customHeight="1">
      <c r="A116" s="319" t="s">
        <v>283</v>
      </c>
      <c r="B116" s="325" t="s">
        <v>504</v>
      </c>
      <c r="C116" s="564"/>
      <c r="D116" s="321">
        <f>'DVI SN'!X70</f>
        <v>9578</v>
      </c>
      <c r="E116" s="321">
        <f>D116*10%</f>
        <v>957.8000000000001</v>
      </c>
      <c r="F116" s="321">
        <f>D116-E116</f>
        <v>8620.2</v>
      </c>
      <c r="G116" s="308"/>
      <c r="H116" s="308">
        <f t="shared" si="9"/>
        <v>8620.2</v>
      </c>
      <c r="I116" s="309"/>
      <c r="J116" s="312">
        <v>17032</v>
      </c>
      <c r="K116" s="311">
        <f t="shared" si="7"/>
        <v>8620.2</v>
      </c>
      <c r="L116" s="312">
        <v>1549</v>
      </c>
      <c r="M116" s="311">
        <f>E116-L116</f>
        <v>-591.1999999999999</v>
      </c>
    </row>
    <row r="117" spans="1:11" ht="38.25" customHeight="1">
      <c r="A117" s="315" t="s">
        <v>270</v>
      </c>
      <c r="B117" s="316" t="s">
        <v>696</v>
      </c>
      <c r="C117" s="313">
        <f>PL02!C38</f>
        <v>18000</v>
      </c>
      <c r="D117" s="307">
        <f>D118+D119</f>
        <v>18000</v>
      </c>
      <c r="E117" s="307">
        <f>E118+E119</f>
        <v>0</v>
      </c>
      <c r="F117" s="307">
        <f>F118+F119</f>
        <v>18000</v>
      </c>
      <c r="G117" s="308">
        <f>G118+G119</f>
        <v>0</v>
      </c>
      <c r="H117" s="308">
        <f>H118+H119</f>
        <v>18000</v>
      </c>
      <c r="I117" s="317"/>
      <c r="J117" s="568">
        <f>D117</f>
        <v>18000</v>
      </c>
      <c r="K117" s="311">
        <f t="shared" si="7"/>
        <v>18000</v>
      </c>
    </row>
    <row r="118" spans="1:11" s="290" customFormat="1" ht="24.75" customHeight="1">
      <c r="A118" s="319">
        <v>1</v>
      </c>
      <c r="B118" s="325" t="s">
        <v>497</v>
      </c>
      <c r="C118" s="564"/>
      <c r="D118" s="321">
        <f>PL02!D39</f>
        <v>15775</v>
      </c>
      <c r="E118" s="321"/>
      <c r="F118" s="321">
        <f>D118</f>
        <v>15775</v>
      </c>
      <c r="G118" s="307"/>
      <c r="H118" s="307">
        <f>F118-G118</f>
        <v>15775</v>
      </c>
      <c r="I118" s="777"/>
      <c r="J118" s="778"/>
      <c r="K118" s="779">
        <f t="shared" si="7"/>
        <v>15775</v>
      </c>
    </row>
    <row r="119" spans="1:11" s="290" customFormat="1" ht="26.25" customHeight="1">
      <c r="A119" s="780">
        <v>2</v>
      </c>
      <c r="B119" s="781" t="s">
        <v>498</v>
      </c>
      <c r="C119" s="782"/>
      <c r="D119" s="783">
        <f>F119</f>
        <v>2225</v>
      </c>
      <c r="E119" s="783"/>
      <c r="F119" s="783">
        <f>PL07!E18</f>
        <v>2225</v>
      </c>
      <c r="G119" s="784"/>
      <c r="H119" s="784">
        <f>F119-G119</f>
        <v>2225</v>
      </c>
      <c r="I119" s="785"/>
      <c r="J119" s="778"/>
      <c r="K119" s="779">
        <f t="shared" si="7"/>
        <v>2225</v>
      </c>
    </row>
    <row r="120" spans="1:11" ht="27" customHeight="1">
      <c r="A120" s="315" t="s">
        <v>272</v>
      </c>
      <c r="B120" s="316" t="s">
        <v>327</v>
      </c>
      <c r="C120" s="313">
        <f aca="true" t="shared" si="10" ref="C120:H120">C121+C122</f>
        <v>147071</v>
      </c>
      <c r="D120" s="307">
        <f t="shared" si="10"/>
        <v>147071</v>
      </c>
      <c r="E120" s="307">
        <f t="shared" si="10"/>
        <v>0</v>
      </c>
      <c r="F120" s="307">
        <f t="shared" si="10"/>
        <v>147071</v>
      </c>
      <c r="G120" s="308">
        <f t="shared" si="10"/>
        <v>0</v>
      </c>
      <c r="H120" s="308">
        <f t="shared" si="10"/>
        <v>147071</v>
      </c>
      <c r="I120" s="317"/>
      <c r="J120" s="318">
        <v>88013</v>
      </c>
      <c r="K120" s="311">
        <f t="shared" si="7"/>
        <v>147071</v>
      </c>
    </row>
    <row r="121" spans="1:11" s="330" customFormat="1" ht="24" customHeight="1">
      <c r="A121" s="319">
        <v>1</v>
      </c>
      <c r="B121" s="325" t="s">
        <v>22</v>
      </c>
      <c r="C121" s="321">
        <v>90000</v>
      </c>
      <c r="D121" s="321">
        <v>90000</v>
      </c>
      <c r="E121" s="313"/>
      <c r="F121" s="321">
        <f>D121-E121</f>
        <v>90000</v>
      </c>
      <c r="G121" s="308"/>
      <c r="H121" s="335">
        <f>F121-G121</f>
        <v>90000</v>
      </c>
      <c r="I121" s="336"/>
      <c r="K121" s="311">
        <f t="shared" si="7"/>
        <v>90000</v>
      </c>
    </row>
    <row r="122" spans="1:11" s="330" customFormat="1" ht="24" customHeight="1">
      <c r="A122" s="319">
        <v>2</v>
      </c>
      <c r="B122" s="325" t="s">
        <v>342</v>
      </c>
      <c r="C122" s="321">
        <v>57071</v>
      </c>
      <c r="D122" s="321">
        <v>57071</v>
      </c>
      <c r="E122" s="313"/>
      <c r="F122" s="321">
        <f>D122-E122</f>
        <v>57071</v>
      </c>
      <c r="G122" s="308"/>
      <c r="H122" s="335">
        <f>F122-G122</f>
        <v>57071</v>
      </c>
      <c r="I122" s="336"/>
      <c r="K122" s="311">
        <f t="shared" si="7"/>
        <v>57071</v>
      </c>
    </row>
    <row r="123" spans="1:11" s="330" customFormat="1" ht="45" customHeight="1">
      <c r="A123" s="315" t="s">
        <v>299</v>
      </c>
      <c r="B123" s="316" t="s">
        <v>245</v>
      </c>
      <c r="C123" s="313"/>
      <c r="D123" s="307">
        <f>D124</f>
        <v>3335</v>
      </c>
      <c r="E123" s="307">
        <f>E124</f>
        <v>0</v>
      </c>
      <c r="F123" s="307">
        <f>F124</f>
        <v>3335</v>
      </c>
      <c r="G123" s="308">
        <f>G124</f>
        <v>0</v>
      </c>
      <c r="H123" s="308">
        <f>H124</f>
        <v>3335</v>
      </c>
      <c r="I123" s="309">
        <f>F123+F132</f>
        <v>21335</v>
      </c>
      <c r="K123" s="311">
        <f t="shared" si="7"/>
        <v>3335</v>
      </c>
    </row>
    <row r="124" spans="1:11" s="337" customFormat="1" ht="24" customHeight="1">
      <c r="A124" s="319">
        <v>1</v>
      </c>
      <c r="B124" s="569" t="s">
        <v>23</v>
      </c>
      <c r="C124" s="567"/>
      <c r="D124" s="570">
        <v>3335</v>
      </c>
      <c r="E124" s="321"/>
      <c r="F124" s="321">
        <f>D124-E124</f>
        <v>3335</v>
      </c>
      <c r="G124" s="338"/>
      <c r="H124" s="339">
        <f>F124-G124</f>
        <v>3335</v>
      </c>
      <c r="I124" s="340"/>
      <c r="J124" s="341"/>
      <c r="K124" s="311">
        <f t="shared" si="7"/>
        <v>3335</v>
      </c>
    </row>
    <row r="125" spans="1:11" s="337" customFormat="1" ht="21" customHeight="1" hidden="1">
      <c r="A125" s="315"/>
      <c r="B125" s="342" t="s">
        <v>53</v>
      </c>
      <c r="C125" s="343"/>
      <c r="D125" s="344">
        <v>198</v>
      </c>
      <c r="E125" s="343"/>
      <c r="F125" s="343">
        <f>D125</f>
        <v>198</v>
      </c>
      <c r="G125" s="338"/>
      <c r="H125" s="339"/>
      <c r="I125" s="340"/>
      <c r="J125" s="341"/>
      <c r="K125" s="311"/>
    </row>
    <row r="126" spans="1:11" s="337" customFormat="1" ht="21" customHeight="1" hidden="1">
      <c r="A126" s="315"/>
      <c r="B126" s="345" t="s">
        <v>52</v>
      </c>
      <c r="C126" s="343"/>
      <c r="D126" s="344">
        <v>10</v>
      </c>
      <c r="E126" s="343"/>
      <c r="F126" s="343">
        <f aca="true" t="shared" si="11" ref="F126:F131">D126</f>
        <v>10</v>
      </c>
      <c r="G126" s="338"/>
      <c r="H126" s="339"/>
      <c r="I126" s="340"/>
      <c r="J126" s="341"/>
      <c r="K126" s="311"/>
    </row>
    <row r="127" spans="1:11" s="337" customFormat="1" ht="21" customHeight="1" hidden="1">
      <c r="A127" s="315"/>
      <c r="B127" s="346" t="s">
        <v>51</v>
      </c>
      <c r="C127" s="343"/>
      <c r="D127" s="344">
        <v>300</v>
      </c>
      <c r="E127" s="343"/>
      <c r="F127" s="343">
        <f t="shared" si="11"/>
        <v>300</v>
      </c>
      <c r="G127" s="338"/>
      <c r="H127" s="339"/>
      <c r="I127" s="340"/>
      <c r="J127" s="341"/>
      <c r="K127" s="311"/>
    </row>
    <row r="128" spans="1:11" s="337" customFormat="1" ht="21" customHeight="1" hidden="1">
      <c r="A128" s="315"/>
      <c r="B128" s="346" t="s">
        <v>54</v>
      </c>
      <c r="C128" s="343"/>
      <c r="D128" s="344">
        <v>20</v>
      </c>
      <c r="E128" s="343"/>
      <c r="F128" s="343">
        <f t="shared" si="11"/>
        <v>20</v>
      </c>
      <c r="G128" s="338"/>
      <c r="H128" s="339"/>
      <c r="I128" s="340"/>
      <c r="J128" s="341"/>
      <c r="K128" s="311"/>
    </row>
    <row r="129" spans="1:11" s="337" customFormat="1" ht="21" customHeight="1" hidden="1">
      <c r="A129" s="315"/>
      <c r="B129" s="346" t="s">
        <v>527</v>
      </c>
      <c r="C129" s="343"/>
      <c r="D129" s="344">
        <v>3</v>
      </c>
      <c r="E129" s="343"/>
      <c r="F129" s="343">
        <f t="shared" si="11"/>
        <v>3</v>
      </c>
      <c r="G129" s="338"/>
      <c r="H129" s="339"/>
      <c r="I129" s="340"/>
      <c r="J129" s="341"/>
      <c r="K129" s="311"/>
    </row>
    <row r="130" spans="1:11" s="337" customFormat="1" ht="21" customHeight="1" hidden="1">
      <c r="A130" s="315"/>
      <c r="B130" s="346" t="s">
        <v>55</v>
      </c>
      <c r="C130" s="343"/>
      <c r="D130" s="344">
        <v>150</v>
      </c>
      <c r="E130" s="343"/>
      <c r="F130" s="343">
        <f t="shared" si="11"/>
        <v>150</v>
      </c>
      <c r="G130" s="338"/>
      <c r="H130" s="339"/>
      <c r="I130" s="340"/>
      <c r="J130" s="341"/>
      <c r="K130" s="311"/>
    </row>
    <row r="131" spans="1:11" s="337" customFormat="1" ht="21" customHeight="1" hidden="1">
      <c r="A131" s="315"/>
      <c r="B131" s="346" t="s">
        <v>56</v>
      </c>
      <c r="C131" s="343"/>
      <c r="D131" s="343">
        <v>50</v>
      </c>
      <c r="E131" s="343"/>
      <c r="F131" s="343">
        <f t="shared" si="11"/>
        <v>50</v>
      </c>
      <c r="G131" s="338"/>
      <c r="H131" s="339"/>
      <c r="I131" s="340"/>
      <c r="J131" s="341"/>
      <c r="K131" s="311"/>
    </row>
    <row r="132" spans="1:8" ht="36" customHeight="1">
      <c r="A132" s="315" t="s">
        <v>148</v>
      </c>
      <c r="B132" s="571" t="s">
        <v>597</v>
      </c>
      <c r="C132" s="572"/>
      <c r="D132" s="573">
        <f>D133+D134</f>
        <v>18000</v>
      </c>
      <c r="E132" s="573">
        <f>E133+E134</f>
        <v>0</v>
      </c>
      <c r="F132" s="573">
        <f>F133+F134</f>
        <v>18000</v>
      </c>
      <c r="G132" s="347"/>
      <c r="H132" s="347"/>
    </row>
    <row r="133" spans="1:8" ht="19.5" customHeight="1">
      <c r="A133" s="319">
        <v>1</v>
      </c>
      <c r="B133" s="574" t="s">
        <v>596</v>
      </c>
      <c r="C133" s="572"/>
      <c r="D133" s="575">
        <f>PL02!D54</f>
        <v>9000</v>
      </c>
      <c r="E133" s="575"/>
      <c r="F133" s="575">
        <f>D133</f>
        <v>9000</v>
      </c>
      <c r="G133" s="347"/>
      <c r="H133" s="347"/>
    </row>
    <row r="134" spans="1:8" ht="16.5">
      <c r="A134" s="348">
        <v>2</v>
      </c>
      <c r="B134" s="574" t="s">
        <v>44</v>
      </c>
      <c r="C134" s="572"/>
      <c r="D134" s="575">
        <f>PL02!D55</f>
        <v>9000</v>
      </c>
      <c r="E134" s="575"/>
      <c r="F134" s="575">
        <f>D134</f>
        <v>9000</v>
      </c>
      <c r="G134" s="347"/>
      <c r="H134" s="347"/>
    </row>
    <row r="135" spans="1:8" s="337" customFormat="1" ht="18.75" hidden="1">
      <c r="A135" s="681"/>
      <c r="B135" s="682" t="s">
        <v>539</v>
      </c>
      <c r="C135" s="683"/>
      <c r="D135" s="684">
        <v>0</v>
      </c>
      <c r="E135" s="684">
        <v>0</v>
      </c>
      <c r="F135" s="684">
        <v>0</v>
      </c>
      <c r="G135" s="685"/>
      <c r="H135" s="685"/>
    </row>
    <row r="136" spans="1:8" s="337" customFormat="1" ht="18.75" hidden="1">
      <c r="A136" s="681"/>
      <c r="B136" s="682" t="s">
        <v>540</v>
      </c>
      <c r="C136" s="683"/>
      <c r="D136" s="684">
        <f>'[1]PL02'!D56</f>
        <v>5645</v>
      </c>
      <c r="E136" s="684"/>
      <c r="F136" s="684">
        <f>D136</f>
        <v>5645</v>
      </c>
      <c r="G136" s="685"/>
      <c r="H136" s="685"/>
    </row>
    <row r="143" ht="16.5"/>
    <row r="144" ht="16.5"/>
  </sheetData>
  <sheetProtection/>
  <mergeCells count="4">
    <mergeCell ref="A4:F4"/>
    <mergeCell ref="A5:F5"/>
    <mergeCell ref="A6:F6"/>
    <mergeCell ref="E7:F7"/>
  </mergeCells>
  <printOptions/>
  <pageMargins left="0.3" right="0.27" top="0.58" bottom="0.64" header="0.5" footer="0.38"/>
  <pageSetup horizontalDpi="600" verticalDpi="600" orientation="portrait" paperSize="9" scale="95" r:id="rId4"/>
  <headerFooter alignWithMargins="0">
    <oddFooter>&amp;CPage &amp;P</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0070C0"/>
  </sheetPr>
  <dimension ref="A1:T70"/>
  <sheetViews>
    <sheetView zoomScale="110" zoomScaleNormal="110" zoomScalePageLayoutView="0" workbookViewId="0" topLeftCell="A1">
      <selection activeCell="A7" sqref="A7:T7"/>
    </sheetView>
  </sheetViews>
  <sheetFormatPr defaultColWidth="8.8515625" defaultRowHeight="12.75"/>
  <cols>
    <col min="1" max="1" width="5.140625" style="753" customWidth="1"/>
    <col min="2" max="2" width="28.28125" style="355" customWidth="1"/>
    <col min="3" max="3" width="7.00390625" style="754" customWidth="1"/>
    <col min="4" max="4" width="6.8515625" style="754" customWidth="1"/>
    <col min="5" max="5" width="9.00390625" style="755" customWidth="1"/>
    <col min="6" max="6" width="10.7109375" style="355" customWidth="1"/>
    <col min="7" max="7" width="9.421875" style="355" customWidth="1"/>
    <col min="8" max="8" width="7.8515625" style="355" customWidth="1"/>
    <col min="9" max="9" width="9.421875" style="355" customWidth="1"/>
    <col min="10" max="10" width="6.421875" style="355" customWidth="1"/>
    <col min="11" max="11" width="7.421875" style="355" customWidth="1"/>
    <col min="12" max="12" width="6.421875" style="355" customWidth="1"/>
    <col min="13" max="13" width="6.8515625" style="282" customWidth="1"/>
    <col min="14" max="14" width="9.140625" style="282" customWidth="1"/>
    <col min="15" max="15" width="8.421875" style="282" customWidth="1"/>
    <col min="16" max="16" width="6.7109375" style="282" customWidth="1"/>
    <col min="17" max="17" width="7.28125" style="282" customWidth="1"/>
    <col min="18" max="18" width="7.8515625" style="282" customWidth="1"/>
    <col min="19" max="19" width="8.8515625" style="282" customWidth="1"/>
    <col min="20" max="20" width="9.28125" style="282" customWidth="1"/>
    <col min="21" max="16384" width="8.8515625" style="282" customWidth="1"/>
  </cols>
  <sheetData>
    <row r="1" spans="1:20" ht="18" customHeight="1">
      <c r="A1" s="24" t="s">
        <v>852</v>
      </c>
      <c r="B1" s="738"/>
      <c r="C1" s="887"/>
      <c r="D1" s="887"/>
      <c r="E1" s="887"/>
      <c r="F1" s="887"/>
      <c r="G1" s="887"/>
      <c r="H1" s="887"/>
      <c r="I1" s="887"/>
      <c r="J1" s="887"/>
      <c r="K1" s="887"/>
      <c r="L1" s="887"/>
      <c r="M1" s="887"/>
      <c r="N1" s="887"/>
      <c r="O1" s="739"/>
      <c r="T1" s="739"/>
    </row>
    <row r="2" spans="1:20" ht="16.5">
      <c r="A2" s="24" t="s">
        <v>851</v>
      </c>
      <c r="B2" s="738"/>
      <c r="C2" s="887"/>
      <c r="D2" s="887"/>
      <c r="E2" s="887"/>
      <c r="F2" s="887"/>
      <c r="G2" s="887"/>
      <c r="H2" s="887"/>
      <c r="I2" s="887"/>
      <c r="J2" s="887"/>
      <c r="K2" s="887"/>
      <c r="L2" s="887"/>
      <c r="M2" s="887"/>
      <c r="N2" s="887"/>
      <c r="O2" s="739"/>
      <c r="T2" s="739"/>
    </row>
    <row r="3" spans="1:20" ht="9.75" customHeight="1">
      <c r="A3" s="740"/>
      <c r="B3" s="533" t="s">
        <v>344</v>
      </c>
      <c r="C3" s="916"/>
      <c r="D3" s="916"/>
      <c r="E3" s="916"/>
      <c r="F3" s="916"/>
      <c r="G3" s="533"/>
      <c r="H3" s="533"/>
      <c r="I3" s="533"/>
      <c r="J3" s="533"/>
      <c r="K3" s="533"/>
      <c r="L3" s="533"/>
      <c r="M3" s="267"/>
      <c r="N3" s="267"/>
      <c r="O3" s="267"/>
      <c r="T3" s="267"/>
    </row>
    <row r="4" spans="1:20" s="725" customFormat="1" ht="18.75">
      <c r="A4" s="917" t="s">
        <v>436</v>
      </c>
      <c r="B4" s="917"/>
      <c r="C4" s="917"/>
      <c r="D4" s="917"/>
      <c r="E4" s="917"/>
      <c r="F4" s="917"/>
      <c r="G4" s="917"/>
      <c r="H4" s="917"/>
      <c r="I4" s="917"/>
      <c r="J4" s="917"/>
      <c r="K4" s="917"/>
      <c r="L4" s="917"/>
      <c r="M4" s="917"/>
      <c r="N4" s="917"/>
      <c r="O4" s="917"/>
      <c r="P4" s="917"/>
      <c r="Q4" s="917"/>
      <c r="R4" s="917"/>
      <c r="S4" s="917"/>
      <c r="T4" s="917"/>
    </row>
    <row r="5" spans="1:20" s="725" customFormat="1" ht="19.5" customHeight="1">
      <c r="A5" s="914" t="s">
        <v>840</v>
      </c>
      <c r="B5" s="914"/>
      <c r="C5" s="914"/>
      <c r="D5" s="914"/>
      <c r="E5" s="914"/>
      <c r="F5" s="914"/>
      <c r="G5" s="914"/>
      <c r="H5" s="914"/>
      <c r="I5" s="914"/>
      <c r="J5" s="914"/>
      <c r="K5" s="914"/>
      <c r="L5" s="914"/>
      <c r="M5" s="914"/>
      <c r="N5" s="914"/>
      <c r="O5" s="914"/>
      <c r="P5" s="914"/>
      <c r="Q5" s="914"/>
      <c r="R5" s="914"/>
      <c r="S5" s="914"/>
      <c r="T5" s="914"/>
    </row>
    <row r="6" spans="1:20" s="725" customFormat="1" ht="19.5" customHeight="1">
      <c r="A6" s="914" t="s">
        <v>768</v>
      </c>
      <c r="B6" s="914"/>
      <c r="C6" s="914"/>
      <c r="D6" s="914"/>
      <c r="E6" s="914"/>
      <c r="F6" s="914"/>
      <c r="G6" s="914"/>
      <c r="H6" s="914"/>
      <c r="I6" s="914"/>
      <c r="J6" s="914"/>
      <c r="K6" s="914"/>
      <c r="L6" s="914"/>
      <c r="M6" s="914"/>
      <c r="N6" s="914"/>
      <c r="O6" s="914"/>
      <c r="P6" s="914"/>
      <c r="Q6" s="914"/>
      <c r="R6" s="914"/>
      <c r="S6" s="914"/>
      <c r="T6" s="914"/>
    </row>
    <row r="7" spans="1:20" s="725" customFormat="1" ht="17.25" customHeight="1">
      <c r="A7" s="915" t="s">
        <v>853</v>
      </c>
      <c r="B7" s="915"/>
      <c r="C7" s="915"/>
      <c r="D7" s="915"/>
      <c r="E7" s="915"/>
      <c r="F7" s="915"/>
      <c r="G7" s="915"/>
      <c r="H7" s="915"/>
      <c r="I7" s="915"/>
      <c r="J7" s="915"/>
      <c r="K7" s="915"/>
      <c r="L7" s="915"/>
      <c r="M7" s="915"/>
      <c r="N7" s="915"/>
      <c r="O7" s="915"/>
      <c r="P7" s="915"/>
      <c r="Q7" s="915"/>
      <c r="R7" s="915"/>
      <c r="S7" s="915"/>
      <c r="T7" s="915"/>
    </row>
    <row r="8" spans="1:20" s="725" customFormat="1" ht="17.25" customHeight="1">
      <c r="A8" s="534"/>
      <c r="B8" s="534"/>
      <c r="C8" s="534"/>
      <c r="D8" s="534"/>
      <c r="E8" s="741"/>
      <c r="F8" s="534"/>
      <c r="G8" s="534"/>
      <c r="H8" s="534"/>
      <c r="I8" s="534"/>
      <c r="J8" s="534"/>
      <c r="K8" s="534"/>
      <c r="L8" s="534"/>
      <c r="M8" s="534"/>
      <c r="N8" s="534"/>
      <c r="Q8" s="906" t="s">
        <v>707</v>
      </c>
      <c r="R8" s="906"/>
      <c r="S8" s="906"/>
      <c r="T8" s="906"/>
    </row>
    <row r="9" spans="1:20" ht="35.25" customHeight="1">
      <c r="A9" s="905" t="s">
        <v>266</v>
      </c>
      <c r="B9" s="905" t="s">
        <v>345</v>
      </c>
      <c r="C9" s="905" t="s">
        <v>346</v>
      </c>
      <c r="D9" s="905" t="s">
        <v>769</v>
      </c>
      <c r="E9" s="911" t="s">
        <v>410</v>
      </c>
      <c r="F9" s="912"/>
      <c r="G9" s="912"/>
      <c r="H9" s="912"/>
      <c r="I9" s="913"/>
      <c r="J9" s="911" t="s">
        <v>509</v>
      </c>
      <c r="K9" s="912"/>
      <c r="L9" s="912"/>
      <c r="M9" s="912"/>
      <c r="N9" s="913"/>
      <c r="O9" s="905" t="s">
        <v>411</v>
      </c>
      <c r="P9" s="909" t="s">
        <v>34</v>
      </c>
      <c r="Q9" s="909"/>
      <c r="R9" s="909"/>
      <c r="S9" s="910" t="s">
        <v>774</v>
      </c>
      <c r="T9" s="904" t="s">
        <v>349</v>
      </c>
    </row>
    <row r="10" spans="1:20" s="355" customFormat="1" ht="39.75" customHeight="1">
      <c r="A10" s="905"/>
      <c r="B10" s="905"/>
      <c r="C10" s="905"/>
      <c r="D10" s="905"/>
      <c r="E10" s="904" t="s">
        <v>347</v>
      </c>
      <c r="F10" s="904" t="s">
        <v>771</v>
      </c>
      <c r="G10" s="904" t="s">
        <v>772</v>
      </c>
      <c r="H10" s="904" t="s">
        <v>348</v>
      </c>
      <c r="I10" s="904" t="s">
        <v>773</v>
      </c>
      <c r="J10" s="904" t="s">
        <v>512</v>
      </c>
      <c r="K10" s="904" t="s">
        <v>770</v>
      </c>
      <c r="L10" s="904" t="s">
        <v>412</v>
      </c>
      <c r="M10" s="904" t="s">
        <v>510</v>
      </c>
      <c r="N10" s="904" t="s">
        <v>511</v>
      </c>
      <c r="O10" s="905"/>
      <c r="P10" s="909" t="s">
        <v>558</v>
      </c>
      <c r="Q10" s="909" t="s">
        <v>698</v>
      </c>
      <c r="R10" s="909" t="s">
        <v>701</v>
      </c>
      <c r="S10" s="910"/>
      <c r="T10" s="904"/>
    </row>
    <row r="11" spans="1:20" s="355" customFormat="1" ht="16.5" customHeight="1">
      <c r="A11" s="905"/>
      <c r="B11" s="905"/>
      <c r="C11" s="905"/>
      <c r="D11" s="905"/>
      <c r="E11" s="904"/>
      <c r="F11" s="904"/>
      <c r="G11" s="904"/>
      <c r="H11" s="904"/>
      <c r="I11" s="904"/>
      <c r="J11" s="904"/>
      <c r="K11" s="904"/>
      <c r="L11" s="904"/>
      <c r="M11" s="904"/>
      <c r="N11" s="904"/>
      <c r="O11" s="905"/>
      <c r="P11" s="909"/>
      <c r="Q11" s="909"/>
      <c r="R11" s="909"/>
      <c r="S11" s="910"/>
      <c r="T11" s="904"/>
    </row>
    <row r="12" spans="1:20" s="355" customFormat="1" ht="104.25" customHeight="1">
      <c r="A12" s="905"/>
      <c r="B12" s="905"/>
      <c r="C12" s="905"/>
      <c r="D12" s="905"/>
      <c r="E12" s="904"/>
      <c r="F12" s="904"/>
      <c r="G12" s="904"/>
      <c r="H12" s="904"/>
      <c r="I12" s="904"/>
      <c r="J12" s="904"/>
      <c r="K12" s="904"/>
      <c r="L12" s="904"/>
      <c r="M12" s="904"/>
      <c r="N12" s="904"/>
      <c r="O12" s="905"/>
      <c r="P12" s="909"/>
      <c r="Q12" s="909"/>
      <c r="R12" s="909"/>
      <c r="S12" s="910"/>
      <c r="T12" s="904"/>
    </row>
    <row r="13" spans="1:20" s="743" customFormat="1" ht="42" customHeight="1">
      <c r="A13" s="566" t="s">
        <v>267</v>
      </c>
      <c r="B13" s="566" t="s">
        <v>272</v>
      </c>
      <c r="C13" s="566">
        <v>1</v>
      </c>
      <c r="D13" s="566">
        <v>2</v>
      </c>
      <c r="E13" s="535" t="s">
        <v>653</v>
      </c>
      <c r="F13" s="535" t="s">
        <v>58</v>
      </c>
      <c r="G13" s="535" t="s">
        <v>59</v>
      </c>
      <c r="H13" s="535" t="s">
        <v>413</v>
      </c>
      <c r="I13" s="535" t="s">
        <v>296</v>
      </c>
      <c r="J13" s="535">
        <v>8</v>
      </c>
      <c r="K13" s="535">
        <v>9</v>
      </c>
      <c r="L13" s="535">
        <v>10</v>
      </c>
      <c r="M13" s="535">
        <v>11</v>
      </c>
      <c r="N13" s="535" t="s">
        <v>514</v>
      </c>
      <c r="O13" s="535" t="s">
        <v>513</v>
      </c>
      <c r="P13" s="742" t="s">
        <v>704</v>
      </c>
      <c r="Q13" s="742">
        <v>14</v>
      </c>
      <c r="R13" s="742">
        <v>15</v>
      </c>
      <c r="S13" s="742" t="s">
        <v>705</v>
      </c>
      <c r="T13" s="535">
        <v>17</v>
      </c>
    </row>
    <row r="14" spans="1:20" s="661" customFormat="1" ht="24" customHeight="1">
      <c r="A14" s="686"/>
      <c r="B14" s="686" t="s">
        <v>264</v>
      </c>
      <c r="C14" s="536">
        <f aca="true" t="shared" si="0" ref="C14:S14">C15+C20+C28+C36+C70</f>
        <v>220</v>
      </c>
      <c r="D14" s="536">
        <f t="shared" si="0"/>
        <v>201</v>
      </c>
      <c r="E14" s="536">
        <f t="shared" si="0"/>
        <v>13725</v>
      </c>
      <c r="F14" s="536">
        <f t="shared" si="0"/>
        <v>21198</v>
      </c>
      <c r="G14" s="536">
        <f t="shared" si="0"/>
        <v>39103</v>
      </c>
      <c r="H14" s="536">
        <f t="shared" si="0"/>
        <v>1796</v>
      </c>
      <c r="I14" s="536">
        <f t="shared" si="0"/>
        <v>37306.5</v>
      </c>
      <c r="J14" s="536">
        <f t="shared" si="0"/>
        <v>0</v>
      </c>
      <c r="K14" s="536">
        <f t="shared" si="0"/>
        <v>12211</v>
      </c>
      <c r="L14" s="536">
        <f t="shared" si="0"/>
        <v>336</v>
      </c>
      <c r="M14" s="536">
        <f t="shared" si="0"/>
        <v>37</v>
      </c>
      <c r="N14" s="536">
        <f t="shared" si="0"/>
        <v>12510</v>
      </c>
      <c r="O14" s="536">
        <f t="shared" si="0"/>
        <v>49816.5</v>
      </c>
      <c r="P14" s="536">
        <f t="shared" si="0"/>
        <v>158.4</v>
      </c>
      <c r="Q14" s="536">
        <f t="shared" si="0"/>
        <v>89.44</v>
      </c>
      <c r="R14" s="536">
        <f t="shared" si="0"/>
        <v>68.96</v>
      </c>
      <c r="S14" s="536">
        <f t="shared" si="0"/>
        <v>49727.06</v>
      </c>
      <c r="T14" s="536"/>
    </row>
    <row r="15" spans="1:20" s="744" customFormat="1" ht="18" customHeight="1">
      <c r="A15" s="686" t="s">
        <v>268</v>
      </c>
      <c r="B15" s="263" t="s">
        <v>360</v>
      </c>
      <c r="C15" s="536">
        <f>C16+C19</f>
        <v>37</v>
      </c>
      <c r="D15" s="536">
        <f aca="true" t="shared" si="1" ref="D15:S15">D16+D19</f>
        <v>36</v>
      </c>
      <c r="E15" s="536">
        <f>E16+E19</f>
        <v>2575</v>
      </c>
      <c r="F15" s="536">
        <f t="shared" si="1"/>
        <v>4630</v>
      </c>
      <c r="G15" s="536">
        <f t="shared" si="1"/>
        <v>7205</v>
      </c>
      <c r="H15" s="536">
        <f t="shared" si="1"/>
        <v>257.5</v>
      </c>
      <c r="I15" s="536">
        <f t="shared" si="1"/>
        <v>6947</v>
      </c>
      <c r="J15" s="536">
        <f t="shared" si="1"/>
        <v>0</v>
      </c>
      <c r="K15" s="536">
        <f t="shared" si="1"/>
        <v>2634</v>
      </c>
      <c r="L15" s="536">
        <f t="shared" si="1"/>
        <v>27</v>
      </c>
      <c r="M15" s="536">
        <f t="shared" si="1"/>
        <v>4</v>
      </c>
      <c r="N15" s="536">
        <f t="shared" si="1"/>
        <v>2657</v>
      </c>
      <c r="O15" s="536">
        <f t="shared" si="1"/>
        <v>9604</v>
      </c>
      <c r="P15" s="536">
        <f t="shared" si="1"/>
        <v>0</v>
      </c>
      <c r="Q15" s="536">
        <f t="shared" si="1"/>
        <v>0</v>
      </c>
      <c r="R15" s="536">
        <f t="shared" si="1"/>
        <v>0</v>
      </c>
      <c r="S15" s="536">
        <f t="shared" si="1"/>
        <v>9604</v>
      </c>
      <c r="T15" s="536"/>
    </row>
    <row r="16" spans="1:20" s="661" customFormat="1" ht="20.25" customHeight="1">
      <c r="A16" s="268">
        <v>1</v>
      </c>
      <c r="B16" s="729" t="s">
        <v>1</v>
      </c>
      <c r="C16" s="273">
        <f>C17</f>
        <v>34</v>
      </c>
      <c r="D16" s="273">
        <f aca="true" t="shared" si="2" ref="D16:S16">D17</f>
        <v>33</v>
      </c>
      <c r="E16" s="273">
        <f t="shared" si="2"/>
        <v>2380</v>
      </c>
      <c r="F16" s="273">
        <f t="shared" si="2"/>
        <v>4398</v>
      </c>
      <c r="G16" s="273">
        <f t="shared" si="2"/>
        <v>6778</v>
      </c>
      <c r="H16" s="273">
        <f t="shared" si="2"/>
        <v>238</v>
      </c>
      <c r="I16" s="273">
        <f t="shared" si="2"/>
        <v>6540</v>
      </c>
      <c r="J16" s="273">
        <f t="shared" si="2"/>
        <v>0</v>
      </c>
      <c r="K16" s="273">
        <f t="shared" si="2"/>
        <v>2634</v>
      </c>
      <c r="L16" s="273">
        <f t="shared" si="2"/>
        <v>27</v>
      </c>
      <c r="M16" s="273">
        <f t="shared" si="2"/>
        <v>4</v>
      </c>
      <c r="N16" s="273">
        <f t="shared" si="2"/>
        <v>2657</v>
      </c>
      <c r="O16" s="273">
        <f t="shared" si="2"/>
        <v>9197</v>
      </c>
      <c r="P16" s="273">
        <f t="shared" si="2"/>
        <v>0</v>
      </c>
      <c r="Q16" s="273">
        <f t="shared" si="2"/>
        <v>0</v>
      </c>
      <c r="R16" s="273">
        <f t="shared" si="2"/>
        <v>0</v>
      </c>
      <c r="S16" s="273">
        <f t="shared" si="2"/>
        <v>9197</v>
      </c>
      <c r="T16" s="751"/>
    </row>
    <row r="17" spans="1:20" s="661" customFormat="1" ht="20.25" customHeight="1">
      <c r="A17" s="268"/>
      <c r="B17" s="748" t="s">
        <v>3</v>
      </c>
      <c r="C17" s="756">
        <v>34</v>
      </c>
      <c r="D17" s="756">
        <v>33</v>
      </c>
      <c r="E17" s="757">
        <f>C17*70</f>
        <v>2380</v>
      </c>
      <c r="F17" s="758">
        <v>4398</v>
      </c>
      <c r="G17" s="758">
        <f>E17+F17</f>
        <v>6778</v>
      </c>
      <c r="H17" s="679">
        <f>E17*10%</f>
        <v>238</v>
      </c>
      <c r="I17" s="679">
        <f>G17-H17</f>
        <v>6540</v>
      </c>
      <c r="J17" s="679">
        <f>'PL 05'!V20+'PL 05'!V21</f>
        <v>0</v>
      </c>
      <c r="K17" s="758">
        <f>'DAC THU'!D11</f>
        <v>2634</v>
      </c>
      <c r="L17" s="758">
        <f>'PL 05'!T12</f>
        <v>27</v>
      </c>
      <c r="M17" s="758">
        <f>'PL 05'!U12</f>
        <v>4</v>
      </c>
      <c r="N17" s="679">
        <f>(J17+K17+L17)-M17</f>
        <v>2657</v>
      </c>
      <c r="O17" s="679">
        <f aca="true" t="shared" si="3" ref="O17:O27">I17+N17</f>
        <v>9197</v>
      </c>
      <c r="P17" s="759"/>
      <c r="Q17" s="759"/>
      <c r="R17" s="759"/>
      <c r="S17" s="679">
        <f>O17-Q17</f>
        <v>9197</v>
      </c>
      <c r="T17" s="751" t="s">
        <v>654</v>
      </c>
    </row>
    <row r="18" spans="1:20" s="661" customFormat="1" ht="20.25" customHeight="1" hidden="1">
      <c r="A18" s="268"/>
      <c r="B18" s="748" t="s">
        <v>2</v>
      </c>
      <c r="C18" s="756">
        <v>2</v>
      </c>
      <c r="D18" s="756">
        <v>2</v>
      </c>
      <c r="E18" s="757"/>
      <c r="F18" s="758"/>
      <c r="G18" s="758">
        <f>E18+F18</f>
        <v>0</v>
      </c>
      <c r="H18" s="679">
        <f>E18*10%</f>
        <v>0</v>
      </c>
      <c r="I18" s="679">
        <f>G18-H18</f>
        <v>0</v>
      </c>
      <c r="J18" s="679">
        <f>'PL 05'!V21+'PL 05'!V22</f>
        <v>0</v>
      </c>
      <c r="K18" s="758"/>
      <c r="L18" s="758"/>
      <c r="M18" s="758"/>
      <c r="N18" s="679">
        <f>(J18+K18+L18)-M18</f>
        <v>0</v>
      </c>
      <c r="O18" s="679">
        <f t="shared" si="3"/>
        <v>0</v>
      </c>
      <c r="P18" s="760"/>
      <c r="Q18" s="760"/>
      <c r="R18" s="760"/>
      <c r="S18" s="679">
        <f>O18-Q18</f>
        <v>0</v>
      </c>
      <c r="T18" s="751"/>
    </row>
    <row r="19" spans="1:20" s="661" customFormat="1" ht="20.25" customHeight="1">
      <c r="A19" s="268">
        <v>2</v>
      </c>
      <c r="B19" s="269" t="s">
        <v>361</v>
      </c>
      <c r="C19" s="761">
        <v>3</v>
      </c>
      <c r="D19" s="761">
        <v>3</v>
      </c>
      <c r="E19" s="762">
        <f>C19*65</f>
        <v>195</v>
      </c>
      <c r="F19" s="273">
        <v>232</v>
      </c>
      <c r="G19" s="273">
        <f>E19+F19</f>
        <v>427</v>
      </c>
      <c r="H19" s="281">
        <f>E19*10%</f>
        <v>19.5</v>
      </c>
      <c r="I19" s="281">
        <v>407</v>
      </c>
      <c r="J19" s="281"/>
      <c r="K19" s="273"/>
      <c r="L19" s="273"/>
      <c r="M19" s="273"/>
      <c r="N19" s="281">
        <f>(J19+K19+L19)-M19</f>
        <v>0</v>
      </c>
      <c r="O19" s="281">
        <f t="shared" si="3"/>
        <v>407</v>
      </c>
      <c r="P19" s="272"/>
      <c r="Q19" s="272"/>
      <c r="R19" s="272"/>
      <c r="S19" s="281">
        <f>O19-Q19</f>
        <v>407</v>
      </c>
      <c r="T19" s="751" t="s">
        <v>652</v>
      </c>
    </row>
    <row r="20" spans="1:20" s="744" customFormat="1" ht="21.75" customHeight="1">
      <c r="A20" s="686" t="s">
        <v>269</v>
      </c>
      <c r="B20" s="263" t="s">
        <v>362</v>
      </c>
      <c r="C20" s="536">
        <f>SUM(C21:C27)</f>
        <v>22</v>
      </c>
      <c r="D20" s="536">
        <f aca="true" t="shared" si="4" ref="D20:S20">SUM(D21:D27)</f>
        <v>20</v>
      </c>
      <c r="E20" s="536">
        <f t="shared" si="4"/>
        <v>1430</v>
      </c>
      <c r="F20" s="536">
        <f t="shared" si="4"/>
        <v>2363</v>
      </c>
      <c r="G20" s="536">
        <f t="shared" si="4"/>
        <v>3793</v>
      </c>
      <c r="H20" s="536">
        <f t="shared" si="4"/>
        <v>144</v>
      </c>
      <c r="I20" s="536">
        <f t="shared" si="4"/>
        <v>3649</v>
      </c>
      <c r="J20" s="536">
        <f t="shared" si="4"/>
        <v>0</v>
      </c>
      <c r="K20" s="536">
        <f t="shared" si="4"/>
        <v>1230</v>
      </c>
      <c r="L20" s="536">
        <f t="shared" si="4"/>
        <v>59</v>
      </c>
      <c r="M20" s="536">
        <f t="shared" si="4"/>
        <v>7</v>
      </c>
      <c r="N20" s="536">
        <f t="shared" si="4"/>
        <v>1282</v>
      </c>
      <c r="O20" s="536">
        <f t="shared" si="4"/>
        <v>4931</v>
      </c>
      <c r="P20" s="536">
        <f t="shared" si="4"/>
        <v>0</v>
      </c>
      <c r="Q20" s="536">
        <f t="shared" si="4"/>
        <v>0</v>
      </c>
      <c r="R20" s="536">
        <f t="shared" si="4"/>
        <v>0</v>
      </c>
      <c r="S20" s="536">
        <f t="shared" si="4"/>
        <v>4931</v>
      </c>
      <c r="T20" s="536"/>
    </row>
    <row r="21" spans="1:20" s="661" customFormat="1" ht="18" customHeight="1">
      <c r="A21" s="742">
        <v>1</v>
      </c>
      <c r="B21" s="729" t="s">
        <v>363</v>
      </c>
      <c r="C21" s="761">
        <v>5</v>
      </c>
      <c r="D21" s="761">
        <v>5</v>
      </c>
      <c r="E21" s="538">
        <f aca="true" t="shared" si="5" ref="E21:E26">C21*65</f>
        <v>325</v>
      </c>
      <c r="F21" s="538">
        <v>621</v>
      </c>
      <c r="G21" s="538">
        <f>E21+F21</f>
        <v>946</v>
      </c>
      <c r="H21" s="538">
        <v>33</v>
      </c>
      <c r="I21" s="538">
        <f>G21-H21</f>
        <v>913</v>
      </c>
      <c r="J21" s="538">
        <f>SUM(J22:J22)</f>
        <v>0</v>
      </c>
      <c r="K21" s="538">
        <f>'DAC THU'!D14</f>
        <v>333</v>
      </c>
      <c r="L21" s="538">
        <f>'PL 05'!T13</f>
        <v>59</v>
      </c>
      <c r="M21" s="538">
        <f>'PL 05'!U13</f>
        <v>7</v>
      </c>
      <c r="N21" s="538">
        <f>(J21+K21+L21-M21)</f>
        <v>385</v>
      </c>
      <c r="O21" s="273">
        <f>I21+N21</f>
        <v>1298</v>
      </c>
      <c r="P21" s="272"/>
      <c r="Q21" s="272"/>
      <c r="R21" s="272"/>
      <c r="S21" s="281">
        <f>O21-Q21</f>
        <v>1298</v>
      </c>
      <c r="T21" s="751" t="s">
        <v>652</v>
      </c>
    </row>
    <row r="22" spans="1:20" s="661" customFormat="1" ht="18" customHeight="1" hidden="1">
      <c r="A22" s="742"/>
      <c r="B22" s="286" t="s">
        <v>2</v>
      </c>
      <c r="C22" s="761"/>
      <c r="D22" s="761"/>
      <c r="E22" s="538">
        <f t="shared" si="5"/>
        <v>0</v>
      </c>
      <c r="F22" s="538"/>
      <c r="G22" s="538">
        <f aca="true" t="shared" si="6" ref="G22:G27">E22+F22</f>
        <v>0</v>
      </c>
      <c r="H22" s="538">
        <f>E22*10%</f>
        <v>0</v>
      </c>
      <c r="I22" s="537">
        <f aca="true" t="shared" si="7" ref="I22:I27">G22-H22</f>
        <v>0</v>
      </c>
      <c r="J22" s="537"/>
      <c r="K22" s="538"/>
      <c r="L22" s="538"/>
      <c r="M22" s="538"/>
      <c r="N22" s="537">
        <f>(J22+K22+L22)-M22</f>
        <v>0</v>
      </c>
      <c r="O22" s="537">
        <f t="shared" si="3"/>
        <v>0</v>
      </c>
      <c r="P22" s="760"/>
      <c r="Q22" s="760"/>
      <c r="R22" s="760"/>
      <c r="S22" s="281">
        <f aca="true" t="shared" si="8" ref="S22:S27">O22-Q22</f>
        <v>0</v>
      </c>
      <c r="T22" s="751"/>
    </row>
    <row r="23" spans="1:20" s="661" customFormat="1" ht="18" customHeight="1">
      <c r="A23" s="742">
        <v>2</v>
      </c>
      <c r="B23" s="729" t="s">
        <v>532</v>
      </c>
      <c r="C23" s="761">
        <v>6</v>
      </c>
      <c r="D23" s="761">
        <v>4</v>
      </c>
      <c r="E23" s="538">
        <f t="shared" si="5"/>
        <v>390</v>
      </c>
      <c r="F23" s="538">
        <v>365</v>
      </c>
      <c r="G23" s="538">
        <f t="shared" si="6"/>
        <v>755</v>
      </c>
      <c r="H23" s="538">
        <v>39</v>
      </c>
      <c r="I23" s="537">
        <f t="shared" si="7"/>
        <v>716</v>
      </c>
      <c r="J23" s="537"/>
      <c r="K23" s="538">
        <f>'DAC THU'!D16</f>
        <v>470</v>
      </c>
      <c r="L23" s="538"/>
      <c r="M23" s="538"/>
      <c r="N23" s="537">
        <f>(J23+K23+L23)-M23</f>
        <v>470</v>
      </c>
      <c r="O23" s="281">
        <f t="shared" si="3"/>
        <v>1186</v>
      </c>
      <c r="P23" s="272"/>
      <c r="Q23" s="272"/>
      <c r="R23" s="272"/>
      <c r="S23" s="281">
        <f t="shared" si="8"/>
        <v>1186</v>
      </c>
      <c r="T23" s="751" t="s">
        <v>652</v>
      </c>
    </row>
    <row r="24" spans="1:20" s="661" customFormat="1" ht="18" customHeight="1">
      <c r="A24" s="742">
        <v>3</v>
      </c>
      <c r="B24" s="269" t="s">
        <v>364</v>
      </c>
      <c r="C24" s="761">
        <v>4</v>
      </c>
      <c r="D24" s="761">
        <v>4</v>
      </c>
      <c r="E24" s="538">
        <f t="shared" si="5"/>
        <v>260</v>
      </c>
      <c r="F24" s="538">
        <v>474</v>
      </c>
      <c r="G24" s="538">
        <f t="shared" si="6"/>
        <v>734</v>
      </c>
      <c r="H24" s="538">
        <v>26</v>
      </c>
      <c r="I24" s="537">
        <f t="shared" si="7"/>
        <v>708</v>
      </c>
      <c r="J24" s="537"/>
      <c r="K24" s="538">
        <f>'DAC THU'!D20</f>
        <v>347</v>
      </c>
      <c r="L24" s="538"/>
      <c r="M24" s="538"/>
      <c r="N24" s="537">
        <f>(J24+K24+L24)-M24</f>
        <v>347</v>
      </c>
      <c r="O24" s="281">
        <f t="shared" si="3"/>
        <v>1055</v>
      </c>
      <c r="P24" s="272"/>
      <c r="Q24" s="272"/>
      <c r="R24" s="272"/>
      <c r="S24" s="281">
        <f t="shared" si="8"/>
        <v>1055</v>
      </c>
      <c r="T24" s="751" t="s">
        <v>652</v>
      </c>
    </row>
    <row r="25" spans="1:20" s="661" customFormat="1" ht="18" customHeight="1">
      <c r="A25" s="742">
        <v>4</v>
      </c>
      <c r="B25" s="729" t="s">
        <v>365</v>
      </c>
      <c r="C25" s="761">
        <v>4</v>
      </c>
      <c r="D25" s="761">
        <v>4</v>
      </c>
      <c r="E25" s="538">
        <f t="shared" si="5"/>
        <v>260</v>
      </c>
      <c r="F25" s="538">
        <v>562</v>
      </c>
      <c r="G25" s="538">
        <f t="shared" si="6"/>
        <v>822</v>
      </c>
      <c r="H25" s="538">
        <v>26</v>
      </c>
      <c r="I25" s="537">
        <f t="shared" si="7"/>
        <v>796</v>
      </c>
      <c r="J25" s="537"/>
      <c r="K25" s="538"/>
      <c r="L25" s="538"/>
      <c r="M25" s="538"/>
      <c r="N25" s="537">
        <f>(J25+K25+L25)-M25</f>
        <v>0</v>
      </c>
      <c r="O25" s="537">
        <f t="shared" si="3"/>
        <v>796</v>
      </c>
      <c r="P25" s="272"/>
      <c r="Q25" s="272"/>
      <c r="R25" s="272"/>
      <c r="S25" s="281">
        <f t="shared" si="8"/>
        <v>796</v>
      </c>
      <c r="T25" s="751" t="s">
        <v>652</v>
      </c>
    </row>
    <row r="26" spans="1:20" s="661" customFormat="1" ht="18" customHeight="1">
      <c r="A26" s="907">
        <v>5</v>
      </c>
      <c r="B26" s="729" t="s">
        <v>366</v>
      </c>
      <c r="C26" s="761">
        <v>3</v>
      </c>
      <c r="D26" s="761">
        <v>3</v>
      </c>
      <c r="E26" s="538">
        <f t="shared" si="5"/>
        <v>195</v>
      </c>
      <c r="F26" s="538">
        <v>336</v>
      </c>
      <c r="G26" s="538">
        <f t="shared" si="6"/>
        <v>531</v>
      </c>
      <c r="H26" s="538">
        <v>20</v>
      </c>
      <c r="I26" s="537">
        <f t="shared" si="7"/>
        <v>511</v>
      </c>
      <c r="J26" s="537"/>
      <c r="K26" s="538">
        <f>'DAC THU'!D21</f>
        <v>70</v>
      </c>
      <c r="L26" s="538"/>
      <c r="M26" s="538"/>
      <c r="N26" s="537">
        <f>(J26+K26+L26)-M26</f>
        <v>70</v>
      </c>
      <c r="O26" s="537">
        <f t="shared" si="3"/>
        <v>581</v>
      </c>
      <c r="P26" s="759"/>
      <c r="Q26" s="759"/>
      <c r="R26" s="759"/>
      <c r="S26" s="281">
        <f t="shared" si="8"/>
        <v>581</v>
      </c>
      <c r="T26" s="751" t="s">
        <v>652</v>
      </c>
    </row>
    <row r="27" spans="1:20" s="661" customFormat="1" ht="18" customHeight="1">
      <c r="A27" s="908"/>
      <c r="B27" s="729" t="s">
        <v>564</v>
      </c>
      <c r="C27" s="761"/>
      <c r="D27" s="761"/>
      <c r="E27" s="763"/>
      <c r="F27" s="538">
        <v>5</v>
      </c>
      <c r="G27" s="538">
        <f t="shared" si="6"/>
        <v>5</v>
      </c>
      <c r="H27" s="538">
        <f>E27*10%</f>
        <v>0</v>
      </c>
      <c r="I27" s="537">
        <f t="shared" si="7"/>
        <v>5</v>
      </c>
      <c r="J27" s="537"/>
      <c r="K27" s="538">
        <v>10</v>
      </c>
      <c r="L27" s="538"/>
      <c r="M27" s="538"/>
      <c r="N27" s="537">
        <f>J27+K27+L27-M27</f>
        <v>10</v>
      </c>
      <c r="O27" s="537">
        <f t="shared" si="3"/>
        <v>15</v>
      </c>
      <c r="P27" s="272"/>
      <c r="Q27" s="272"/>
      <c r="R27" s="272"/>
      <c r="S27" s="281">
        <f t="shared" si="8"/>
        <v>15</v>
      </c>
      <c r="T27" s="751"/>
    </row>
    <row r="28" spans="1:20" s="744" customFormat="1" ht="18" customHeight="1">
      <c r="A28" s="686" t="s">
        <v>270</v>
      </c>
      <c r="B28" s="263" t="s">
        <v>367</v>
      </c>
      <c r="C28" s="536">
        <f>SUM(C29:C35)</f>
        <v>22</v>
      </c>
      <c r="D28" s="536">
        <f>SUM(D29:D35)</f>
        <v>19</v>
      </c>
      <c r="E28" s="539">
        <f>SUM(E29:E35)</f>
        <v>550</v>
      </c>
      <c r="F28" s="539">
        <f>SUM(F29:F35)</f>
        <v>1281</v>
      </c>
      <c r="G28" s="539">
        <f>SUM(G29:G35)</f>
        <v>1831</v>
      </c>
      <c r="H28" s="539">
        <f aca="true" t="shared" si="9" ref="H28:S28">SUM(H29:H35)</f>
        <v>57</v>
      </c>
      <c r="I28" s="539">
        <f t="shared" si="9"/>
        <v>1774</v>
      </c>
      <c r="J28" s="539">
        <f t="shared" si="9"/>
        <v>0</v>
      </c>
      <c r="K28" s="539">
        <f t="shared" si="9"/>
        <v>387</v>
      </c>
      <c r="L28" s="539">
        <f t="shared" si="9"/>
        <v>0</v>
      </c>
      <c r="M28" s="539">
        <f t="shared" si="9"/>
        <v>0</v>
      </c>
      <c r="N28" s="539">
        <f t="shared" si="9"/>
        <v>387</v>
      </c>
      <c r="O28" s="539">
        <f t="shared" si="9"/>
        <v>2161</v>
      </c>
      <c r="P28" s="539">
        <f t="shared" si="9"/>
        <v>0</v>
      </c>
      <c r="Q28" s="539">
        <f t="shared" si="9"/>
        <v>0</v>
      </c>
      <c r="R28" s="539">
        <f t="shared" si="9"/>
        <v>0</v>
      </c>
      <c r="S28" s="539">
        <f t="shared" si="9"/>
        <v>2161</v>
      </c>
      <c r="T28" s="539"/>
    </row>
    <row r="29" spans="1:20" s="661" customFormat="1" ht="18" customHeight="1">
      <c r="A29" s="268">
        <v>1</v>
      </c>
      <c r="B29" s="269" t="s">
        <v>368</v>
      </c>
      <c r="C29" s="764">
        <v>3</v>
      </c>
      <c r="D29" s="764">
        <v>3</v>
      </c>
      <c r="E29" s="281">
        <f>C29*25</f>
        <v>75</v>
      </c>
      <c r="F29" s="281">
        <v>203</v>
      </c>
      <c r="G29" s="281">
        <f aca="true" t="shared" si="10" ref="G29:G35">E29+F29</f>
        <v>278</v>
      </c>
      <c r="H29" s="281">
        <v>8</v>
      </c>
      <c r="I29" s="281">
        <f aca="true" t="shared" si="11" ref="I29:I35">G29-H29</f>
        <v>270</v>
      </c>
      <c r="J29" s="281"/>
      <c r="K29" s="281">
        <f>'DAC THU'!D28</f>
        <v>70</v>
      </c>
      <c r="L29" s="281"/>
      <c r="M29" s="281"/>
      <c r="N29" s="281">
        <f aca="true" t="shared" si="12" ref="N29:N35">(J29+K29+L29)-M29</f>
        <v>70</v>
      </c>
      <c r="O29" s="281">
        <f aca="true" t="shared" si="13" ref="O29:O35">I29+N29</f>
        <v>340</v>
      </c>
      <c r="P29" s="284"/>
      <c r="Q29" s="284"/>
      <c r="R29" s="284"/>
      <c r="S29" s="281">
        <f>O29-Q29</f>
        <v>340</v>
      </c>
      <c r="T29" s="751" t="s">
        <v>659</v>
      </c>
    </row>
    <row r="30" spans="1:20" s="661" customFormat="1" ht="18" customHeight="1">
      <c r="A30" s="268">
        <v>2</v>
      </c>
      <c r="B30" s="269" t="s">
        <v>369</v>
      </c>
      <c r="C30" s="764">
        <v>3</v>
      </c>
      <c r="D30" s="764">
        <v>3</v>
      </c>
      <c r="E30" s="281">
        <f aca="true" t="shared" si="14" ref="E30:E35">C30*25</f>
        <v>75</v>
      </c>
      <c r="F30" s="281">
        <v>181</v>
      </c>
      <c r="G30" s="281">
        <f t="shared" si="10"/>
        <v>256</v>
      </c>
      <c r="H30" s="281">
        <v>8</v>
      </c>
      <c r="I30" s="281">
        <f t="shared" si="11"/>
        <v>248</v>
      </c>
      <c r="J30" s="281"/>
      <c r="K30" s="281">
        <f>'DAC THU'!D26</f>
        <v>70</v>
      </c>
      <c r="L30" s="281"/>
      <c r="M30" s="281"/>
      <c r="N30" s="281">
        <f t="shared" si="12"/>
        <v>70</v>
      </c>
      <c r="O30" s="281">
        <f t="shared" si="13"/>
        <v>318</v>
      </c>
      <c r="P30" s="272"/>
      <c r="Q30" s="272"/>
      <c r="R30" s="272"/>
      <c r="S30" s="281">
        <f aca="true" t="shared" si="15" ref="S30:S35">O30-Q30</f>
        <v>318</v>
      </c>
      <c r="T30" s="751" t="s">
        <v>659</v>
      </c>
    </row>
    <row r="31" spans="1:20" s="661" customFormat="1" ht="18" customHeight="1">
      <c r="A31" s="268">
        <v>3</v>
      </c>
      <c r="B31" s="269" t="s">
        <v>370</v>
      </c>
      <c r="C31" s="764">
        <v>4</v>
      </c>
      <c r="D31" s="764">
        <v>3</v>
      </c>
      <c r="E31" s="281">
        <f t="shared" si="14"/>
        <v>100</v>
      </c>
      <c r="F31" s="281">
        <v>228</v>
      </c>
      <c r="G31" s="281">
        <f t="shared" si="10"/>
        <v>328</v>
      </c>
      <c r="H31" s="281">
        <v>10</v>
      </c>
      <c r="I31" s="281">
        <f t="shared" si="11"/>
        <v>318</v>
      </c>
      <c r="J31" s="281"/>
      <c r="K31" s="281"/>
      <c r="L31" s="281"/>
      <c r="M31" s="281"/>
      <c r="N31" s="281">
        <f t="shared" si="12"/>
        <v>0</v>
      </c>
      <c r="O31" s="281">
        <f t="shared" si="13"/>
        <v>318</v>
      </c>
      <c r="P31" s="272"/>
      <c r="Q31" s="272"/>
      <c r="R31" s="272"/>
      <c r="S31" s="281">
        <f t="shared" si="15"/>
        <v>318</v>
      </c>
      <c r="T31" s="751" t="s">
        <v>659</v>
      </c>
    </row>
    <row r="32" spans="1:20" s="661" customFormat="1" ht="35.25" customHeight="1">
      <c r="A32" s="268">
        <v>4</v>
      </c>
      <c r="B32" s="269" t="s">
        <v>371</v>
      </c>
      <c r="C32" s="764">
        <v>3</v>
      </c>
      <c r="D32" s="764">
        <v>3</v>
      </c>
      <c r="E32" s="281">
        <f t="shared" si="14"/>
        <v>75</v>
      </c>
      <c r="F32" s="281">
        <v>172</v>
      </c>
      <c r="G32" s="281">
        <f t="shared" si="10"/>
        <v>247</v>
      </c>
      <c r="H32" s="281">
        <v>8</v>
      </c>
      <c r="I32" s="281">
        <f t="shared" si="11"/>
        <v>239</v>
      </c>
      <c r="J32" s="281"/>
      <c r="K32" s="281">
        <f>'DAC THU'!D36</f>
        <v>17</v>
      </c>
      <c r="L32" s="281"/>
      <c r="M32" s="281"/>
      <c r="N32" s="281">
        <f t="shared" si="12"/>
        <v>17</v>
      </c>
      <c r="O32" s="281">
        <f t="shared" si="13"/>
        <v>256</v>
      </c>
      <c r="P32" s="284"/>
      <c r="Q32" s="284"/>
      <c r="R32" s="284"/>
      <c r="S32" s="281">
        <f t="shared" si="15"/>
        <v>256</v>
      </c>
      <c r="T32" s="751" t="s">
        <v>659</v>
      </c>
    </row>
    <row r="33" spans="1:20" s="661" customFormat="1" ht="18" customHeight="1">
      <c r="A33" s="268">
        <v>5</v>
      </c>
      <c r="B33" s="269" t="s">
        <v>372</v>
      </c>
      <c r="C33" s="764">
        <v>4</v>
      </c>
      <c r="D33" s="764">
        <v>4</v>
      </c>
      <c r="E33" s="281">
        <f t="shared" si="14"/>
        <v>100</v>
      </c>
      <c r="F33" s="281">
        <v>230</v>
      </c>
      <c r="G33" s="281">
        <f t="shared" si="10"/>
        <v>330</v>
      </c>
      <c r="H33" s="281">
        <v>10</v>
      </c>
      <c r="I33" s="281">
        <f t="shared" si="11"/>
        <v>320</v>
      </c>
      <c r="J33" s="281"/>
      <c r="K33" s="281">
        <f>'DAC THU'!D34</f>
        <v>70</v>
      </c>
      <c r="L33" s="281"/>
      <c r="M33" s="281"/>
      <c r="N33" s="281">
        <f t="shared" si="12"/>
        <v>70</v>
      </c>
      <c r="O33" s="281">
        <f t="shared" si="13"/>
        <v>390</v>
      </c>
      <c r="P33" s="272"/>
      <c r="Q33" s="272"/>
      <c r="R33" s="272"/>
      <c r="S33" s="281">
        <f t="shared" si="15"/>
        <v>390</v>
      </c>
      <c r="T33" s="751" t="s">
        <v>659</v>
      </c>
    </row>
    <row r="34" spans="1:20" s="661" customFormat="1" ht="18" customHeight="1">
      <c r="A34" s="268">
        <v>6</v>
      </c>
      <c r="B34" s="269" t="s">
        <v>373</v>
      </c>
      <c r="C34" s="764"/>
      <c r="D34" s="764"/>
      <c r="E34" s="281">
        <f t="shared" si="14"/>
        <v>0</v>
      </c>
      <c r="F34" s="281"/>
      <c r="G34" s="281">
        <f t="shared" si="10"/>
        <v>0</v>
      </c>
      <c r="H34" s="281">
        <f>E34*10%</f>
        <v>0</v>
      </c>
      <c r="I34" s="281">
        <f t="shared" si="11"/>
        <v>0</v>
      </c>
      <c r="J34" s="281"/>
      <c r="K34" s="281">
        <f>'DAC THU'!D30</f>
        <v>60</v>
      </c>
      <c r="L34" s="281"/>
      <c r="M34" s="281"/>
      <c r="N34" s="281">
        <f t="shared" si="12"/>
        <v>60</v>
      </c>
      <c r="O34" s="281">
        <f t="shared" si="13"/>
        <v>60</v>
      </c>
      <c r="P34" s="272"/>
      <c r="Q34" s="272"/>
      <c r="R34" s="272"/>
      <c r="S34" s="281">
        <f t="shared" si="15"/>
        <v>60</v>
      </c>
      <c r="T34" s="751"/>
    </row>
    <row r="35" spans="1:20" s="661" customFormat="1" ht="18" customHeight="1">
      <c r="A35" s="268">
        <v>7</v>
      </c>
      <c r="B35" s="269" t="s">
        <v>374</v>
      </c>
      <c r="C35" s="764">
        <v>5</v>
      </c>
      <c r="D35" s="764">
        <v>3</v>
      </c>
      <c r="E35" s="281">
        <f t="shared" si="14"/>
        <v>125</v>
      </c>
      <c r="F35" s="281">
        <v>267</v>
      </c>
      <c r="G35" s="281">
        <f t="shared" si="10"/>
        <v>392</v>
      </c>
      <c r="H35" s="281">
        <v>13</v>
      </c>
      <c r="I35" s="281">
        <f t="shared" si="11"/>
        <v>379</v>
      </c>
      <c r="J35" s="281"/>
      <c r="K35" s="281">
        <f>'DAC THU'!D32</f>
        <v>100</v>
      </c>
      <c r="L35" s="281"/>
      <c r="M35" s="281"/>
      <c r="N35" s="281">
        <f t="shared" si="12"/>
        <v>100</v>
      </c>
      <c r="O35" s="281">
        <f t="shared" si="13"/>
        <v>479</v>
      </c>
      <c r="P35" s="272"/>
      <c r="Q35" s="272"/>
      <c r="R35" s="272"/>
      <c r="S35" s="281">
        <f t="shared" si="15"/>
        <v>479</v>
      </c>
      <c r="T35" s="751" t="s">
        <v>659</v>
      </c>
    </row>
    <row r="36" spans="1:20" ht="18" customHeight="1">
      <c r="A36" s="745" t="s">
        <v>271</v>
      </c>
      <c r="B36" s="746" t="s">
        <v>375</v>
      </c>
      <c r="C36" s="354">
        <f>C37+C40+C41+C42+C45+C46+C49+C51+C52+C60+C63+C66+C69</f>
        <v>139</v>
      </c>
      <c r="D36" s="354">
        <f aca="true" t="shared" si="16" ref="D36:S36">D37+D40+D41+D42+D45+D46+D49+D51+D52+D60+D63+D66+D69</f>
        <v>126</v>
      </c>
      <c r="E36" s="354">
        <f t="shared" si="16"/>
        <v>9170</v>
      </c>
      <c r="F36" s="354">
        <f t="shared" si="16"/>
        <v>12924</v>
      </c>
      <c r="G36" s="354">
        <f t="shared" si="16"/>
        <v>22094</v>
      </c>
      <c r="H36" s="354">
        <f t="shared" si="16"/>
        <v>919.5</v>
      </c>
      <c r="I36" s="354">
        <f t="shared" si="16"/>
        <v>21174.5</v>
      </c>
      <c r="J36" s="354">
        <f t="shared" si="16"/>
        <v>0</v>
      </c>
      <c r="K36" s="354">
        <f t="shared" si="16"/>
        <v>7960</v>
      </c>
      <c r="L36" s="354">
        <f t="shared" si="16"/>
        <v>250</v>
      </c>
      <c r="M36" s="354">
        <f t="shared" si="16"/>
        <v>26</v>
      </c>
      <c r="N36" s="354">
        <f t="shared" si="16"/>
        <v>8184</v>
      </c>
      <c r="O36" s="354">
        <f t="shared" si="16"/>
        <v>29358.5</v>
      </c>
      <c r="P36" s="354">
        <f t="shared" si="16"/>
        <v>158.4</v>
      </c>
      <c r="Q36" s="354">
        <f t="shared" si="16"/>
        <v>89.44</v>
      </c>
      <c r="R36" s="354">
        <f t="shared" si="16"/>
        <v>68.96</v>
      </c>
      <c r="S36" s="354">
        <f t="shared" si="16"/>
        <v>29269.06</v>
      </c>
      <c r="T36" s="354"/>
    </row>
    <row r="37" spans="1:20" ht="18" customHeight="1">
      <c r="A37" s="747">
        <v>1</v>
      </c>
      <c r="B37" s="728" t="s">
        <v>351</v>
      </c>
      <c r="C37" s="540">
        <f>C38+C39</f>
        <v>13</v>
      </c>
      <c r="D37" s="540">
        <f aca="true" t="shared" si="17" ref="D37:O37">D38+D39</f>
        <v>12</v>
      </c>
      <c r="E37" s="540">
        <f t="shared" si="17"/>
        <v>845</v>
      </c>
      <c r="F37" s="540">
        <f>F38+F39</f>
        <v>1085</v>
      </c>
      <c r="G37" s="540">
        <f t="shared" si="17"/>
        <v>1930</v>
      </c>
      <c r="H37" s="540">
        <f t="shared" si="17"/>
        <v>84.5</v>
      </c>
      <c r="I37" s="540">
        <f t="shared" si="17"/>
        <v>1845.5</v>
      </c>
      <c r="J37" s="540">
        <f t="shared" si="17"/>
        <v>0</v>
      </c>
      <c r="K37" s="540">
        <f t="shared" si="17"/>
        <v>1300</v>
      </c>
      <c r="L37" s="540">
        <f t="shared" si="17"/>
        <v>0</v>
      </c>
      <c r="M37" s="540">
        <f t="shared" si="17"/>
        <v>0</v>
      </c>
      <c r="N37" s="540">
        <f t="shared" si="17"/>
        <v>1300</v>
      </c>
      <c r="O37" s="540">
        <f t="shared" si="17"/>
        <v>3145.5</v>
      </c>
      <c r="P37" s="352"/>
      <c r="Q37" s="352"/>
      <c r="R37" s="352"/>
      <c r="S37" s="281">
        <f>O37-Q37</f>
        <v>3145.5</v>
      </c>
      <c r="T37" s="751" t="s">
        <v>652</v>
      </c>
    </row>
    <row r="38" spans="1:20" ht="18" customHeight="1">
      <c r="A38" s="765"/>
      <c r="B38" s="748" t="s">
        <v>3</v>
      </c>
      <c r="C38" s="749">
        <v>13</v>
      </c>
      <c r="D38" s="749">
        <v>12</v>
      </c>
      <c r="E38" s="749">
        <f>C38*65</f>
        <v>845</v>
      </c>
      <c r="F38" s="749">
        <v>1085</v>
      </c>
      <c r="G38" s="749">
        <f>E38+F38</f>
        <v>1930</v>
      </c>
      <c r="H38" s="541">
        <f>E38*10%</f>
        <v>84.5</v>
      </c>
      <c r="I38" s="541">
        <f>G38-H38</f>
        <v>1845.5</v>
      </c>
      <c r="J38" s="541"/>
      <c r="K38" s="749">
        <f>'DAC THU'!D47</f>
        <v>1300</v>
      </c>
      <c r="L38" s="749"/>
      <c r="M38" s="749"/>
      <c r="N38" s="541">
        <f aca="true" t="shared" si="18" ref="N38:N69">(J38+K38+L38)-M38</f>
        <v>1300</v>
      </c>
      <c r="O38" s="541">
        <f>I38+N38</f>
        <v>3145.5</v>
      </c>
      <c r="P38" s="766"/>
      <c r="Q38" s="766"/>
      <c r="R38" s="766"/>
      <c r="S38" s="679">
        <f aca="true" t="shared" si="19" ref="S38:S69">O38-Q38</f>
        <v>3145.5</v>
      </c>
      <c r="T38" s="751"/>
    </row>
    <row r="39" spans="1:20" ht="18" customHeight="1" hidden="1">
      <c r="A39" s="747"/>
      <c r="B39" s="748" t="s">
        <v>2</v>
      </c>
      <c r="C39" s="749"/>
      <c r="D39" s="749"/>
      <c r="E39" s="749"/>
      <c r="F39" s="749"/>
      <c r="G39" s="749">
        <f>E39+F39</f>
        <v>0</v>
      </c>
      <c r="H39" s="541"/>
      <c r="I39" s="541">
        <f>G39-H39</f>
        <v>0</v>
      </c>
      <c r="J39" s="541"/>
      <c r="K39" s="749"/>
      <c r="L39" s="749"/>
      <c r="M39" s="749"/>
      <c r="N39" s="541">
        <f t="shared" si="18"/>
        <v>0</v>
      </c>
      <c r="O39" s="541">
        <f>I39+N39</f>
        <v>0</v>
      </c>
      <c r="P39" s="678"/>
      <c r="Q39" s="678"/>
      <c r="R39" s="678"/>
      <c r="S39" s="679">
        <f t="shared" si="19"/>
        <v>0</v>
      </c>
      <c r="T39" s="750"/>
    </row>
    <row r="40" spans="1:20" ht="18" customHeight="1">
      <c r="A40" s="747">
        <v>2</v>
      </c>
      <c r="B40" s="728" t="s">
        <v>441</v>
      </c>
      <c r="C40" s="540">
        <v>6</v>
      </c>
      <c r="D40" s="540">
        <v>6</v>
      </c>
      <c r="E40" s="540">
        <f>C40*65</f>
        <v>390</v>
      </c>
      <c r="F40" s="540">
        <v>567</v>
      </c>
      <c r="G40" s="540">
        <f>E40+F40</f>
        <v>957</v>
      </c>
      <c r="H40" s="280">
        <f>E40*10%</f>
        <v>39</v>
      </c>
      <c r="I40" s="280">
        <f>G40-H40</f>
        <v>918</v>
      </c>
      <c r="J40" s="280"/>
      <c r="K40" s="540">
        <f>'DAC THU'!D42</f>
        <v>400</v>
      </c>
      <c r="L40" s="540">
        <f>'PL 05'!T17</f>
        <v>19</v>
      </c>
      <c r="M40" s="540">
        <f>'PL 05'!U17</f>
        <v>2</v>
      </c>
      <c r="N40" s="280">
        <f t="shared" si="18"/>
        <v>417</v>
      </c>
      <c r="O40" s="280">
        <f>I40+N40</f>
        <v>1335</v>
      </c>
      <c r="P40" s="272"/>
      <c r="Q40" s="272"/>
      <c r="R40" s="272"/>
      <c r="S40" s="281">
        <f t="shared" si="19"/>
        <v>1335</v>
      </c>
      <c r="T40" s="751" t="s">
        <v>652</v>
      </c>
    </row>
    <row r="41" spans="1:20" ht="18" customHeight="1">
      <c r="A41" s="747">
        <v>3</v>
      </c>
      <c r="B41" s="728" t="s">
        <v>352</v>
      </c>
      <c r="C41" s="540">
        <v>4</v>
      </c>
      <c r="D41" s="540">
        <v>4</v>
      </c>
      <c r="E41" s="540">
        <f>C41*65</f>
        <v>260</v>
      </c>
      <c r="F41" s="540">
        <v>372</v>
      </c>
      <c r="G41" s="540">
        <f>E41+F41</f>
        <v>632</v>
      </c>
      <c r="H41" s="280">
        <f>E41*10%</f>
        <v>26</v>
      </c>
      <c r="I41" s="280">
        <f>G41-H41</f>
        <v>606</v>
      </c>
      <c r="J41" s="280"/>
      <c r="K41" s="540">
        <f>'DAC THU'!D51</f>
        <v>100</v>
      </c>
      <c r="L41" s="540"/>
      <c r="M41" s="540"/>
      <c r="N41" s="280">
        <f t="shared" si="18"/>
        <v>100</v>
      </c>
      <c r="O41" s="280">
        <f>I41+N41</f>
        <v>706</v>
      </c>
      <c r="P41" s="284"/>
      <c r="Q41" s="284"/>
      <c r="R41" s="284"/>
      <c r="S41" s="281">
        <f t="shared" si="19"/>
        <v>706</v>
      </c>
      <c r="T41" s="751" t="s">
        <v>652</v>
      </c>
    </row>
    <row r="42" spans="1:20" ht="18" customHeight="1">
      <c r="A42" s="747">
        <v>4</v>
      </c>
      <c r="B42" s="728" t="s">
        <v>353</v>
      </c>
      <c r="C42" s="540">
        <f>C43+C44</f>
        <v>11</v>
      </c>
      <c r="D42" s="540">
        <f aca="true" t="shared" si="20" ref="D42:O42">D43+D44</f>
        <v>8</v>
      </c>
      <c r="E42" s="540">
        <f t="shared" si="20"/>
        <v>715</v>
      </c>
      <c r="F42" s="540">
        <f>F43+F44</f>
        <v>1055</v>
      </c>
      <c r="G42" s="540">
        <f t="shared" si="20"/>
        <v>1770</v>
      </c>
      <c r="H42" s="540">
        <f t="shared" si="20"/>
        <v>72</v>
      </c>
      <c r="I42" s="540">
        <f t="shared" si="20"/>
        <v>1698</v>
      </c>
      <c r="J42" s="540">
        <f t="shared" si="20"/>
        <v>0</v>
      </c>
      <c r="K42" s="540">
        <f t="shared" si="20"/>
        <v>0</v>
      </c>
      <c r="L42" s="540">
        <f t="shared" si="20"/>
        <v>0</v>
      </c>
      <c r="M42" s="540">
        <f t="shared" si="20"/>
        <v>0</v>
      </c>
      <c r="N42" s="280">
        <f t="shared" si="18"/>
        <v>0</v>
      </c>
      <c r="O42" s="540">
        <f t="shared" si="20"/>
        <v>1698</v>
      </c>
      <c r="P42" s="284"/>
      <c r="Q42" s="284"/>
      <c r="R42" s="284"/>
      <c r="S42" s="281">
        <f t="shared" si="19"/>
        <v>1698</v>
      </c>
      <c r="T42" s="751" t="s">
        <v>652</v>
      </c>
    </row>
    <row r="43" spans="1:20" ht="18" customHeight="1">
      <c r="A43" s="767"/>
      <c r="B43" s="748" t="s">
        <v>3</v>
      </c>
      <c r="C43" s="749">
        <v>11</v>
      </c>
      <c r="D43" s="749">
        <v>8</v>
      </c>
      <c r="E43" s="749">
        <f>C43*65</f>
        <v>715</v>
      </c>
      <c r="F43" s="749">
        <v>1055</v>
      </c>
      <c r="G43" s="749">
        <f>E43+F43</f>
        <v>1770</v>
      </c>
      <c r="H43" s="541">
        <v>72</v>
      </c>
      <c r="I43" s="541">
        <f>G43-H43</f>
        <v>1698</v>
      </c>
      <c r="J43" s="541">
        <v>0</v>
      </c>
      <c r="K43" s="749"/>
      <c r="L43" s="749"/>
      <c r="M43" s="749">
        <v>0</v>
      </c>
      <c r="N43" s="541">
        <f t="shared" si="18"/>
        <v>0</v>
      </c>
      <c r="O43" s="541">
        <f aca="true" t="shared" si="21" ref="O43:O51">I43+N43</f>
        <v>1698</v>
      </c>
      <c r="P43" s="678"/>
      <c r="Q43" s="678"/>
      <c r="R43" s="678"/>
      <c r="S43" s="679">
        <f t="shared" si="19"/>
        <v>1698</v>
      </c>
      <c r="T43" s="751"/>
    </row>
    <row r="44" spans="1:20" ht="18" customHeight="1" hidden="1">
      <c r="A44" s="747"/>
      <c r="B44" s="748" t="s">
        <v>2</v>
      </c>
      <c r="C44" s="749"/>
      <c r="D44" s="749"/>
      <c r="E44" s="749"/>
      <c r="F44" s="749"/>
      <c r="G44" s="749">
        <f>E44+F44</f>
        <v>0</v>
      </c>
      <c r="H44" s="541"/>
      <c r="I44" s="541">
        <f>G44-H44</f>
        <v>0</v>
      </c>
      <c r="J44" s="541"/>
      <c r="K44" s="749"/>
      <c r="L44" s="749"/>
      <c r="M44" s="749"/>
      <c r="N44" s="541">
        <f t="shared" si="18"/>
        <v>0</v>
      </c>
      <c r="O44" s="541">
        <f t="shared" si="21"/>
        <v>0</v>
      </c>
      <c r="P44" s="678"/>
      <c r="Q44" s="678"/>
      <c r="R44" s="678"/>
      <c r="S44" s="679">
        <f t="shared" si="19"/>
        <v>0</v>
      </c>
      <c r="T44" s="751"/>
    </row>
    <row r="45" spans="1:20" ht="18" customHeight="1">
      <c r="A45" s="747">
        <v>5</v>
      </c>
      <c r="B45" s="728" t="s">
        <v>528</v>
      </c>
      <c r="C45" s="540">
        <f>7</f>
        <v>7</v>
      </c>
      <c r="D45" s="540">
        <v>7</v>
      </c>
      <c r="E45" s="540">
        <f>C45*65</f>
        <v>455</v>
      </c>
      <c r="F45" s="540">
        <v>812</v>
      </c>
      <c r="G45" s="540">
        <f>E45+F45</f>
        <v>1267</v>
      </c>
      <c r="H45" s="280">
        <v>46</v>
      </c>
      <c r="I45" s="280">
        <f>G45-H45</f>
        <v>1221</v>
      </c>
      <c r="J45" s="280"/>
      <c r="K45" s="540"/>
      <c r="L45" s="540">
        <f>'PL 05'!T16</f>
        <v>19</v>
      </c>
      <c r="M45" s="540">
        <f>'PL 05'!U16</f>
        <v>2</v>
      </c>
      <c r="N45" s="280">
        <f t="shared" si="18"/>
        <v>17</v>
      </c>
      <c r="O45" s="280">
        <f t="shared" si="21"/>
        <v>1238</v>
      </c>
      <c r="P45" s="284"/>
      <c r="Q45" s="284"/>
      <c r="R45" s="284"/>
      <c r="S45" s="281">
        <f t="shared" si="19"/>
        <v>1238</v>
      </c>
      <c r="T45" s="751" t="s">
        <v>652</v>
      </c>
    </row>
    <row r="46" spans="1:20" ht="18" customHeight="1">
      <c r="A46" s="747">
        <v>6</v>
      </c>
      <c r="B46" s="728" t="s">
        <v>354</v>
      </c>
      <c r="C46" s="540">
        <f>C47+C48</f>
        <v>13</v>
      </c>
      <c r="D46" s="540">
        <f>D47+D48</f>
        <v>10</v>
      </c>
      <c r="E46" s="540">
        <f aca="true" t="shared" si="22" ref="E46:S46">E47+E48</f>
        <v>845</v>
      </c>
      <c r="F46" s="540">
        <f t="shared" si="22"/>
        <v>811</v>
      </c>
      <c r="G46" s="540">
        <f t="shared" si="22"/>
        <v>1656</v>
      </c>
      <c r="H46" s="540">
        <f t="shared" si="22"/>
        <v>85</v>
      </c>
      <c r="I46" s="540">
        <f t="shared" si="22"/>
        <v>1571</v>
      </c>
      <c r="J46" s="540">
        <f t="shared" si="22"/>
        <v>0</v>
      </c>
      <c r="K46" s="540">
        <f t="shared" si="22"/>
        <v>0</v>
      </c>
      <c r="L46" s="540">
        <f t="shared" si="22"/>
        <v>0</v>
      </c>
      <c r="M46" s="540">
        <f t="shared" si="22"/>
        <v>0</v>
      </c>
      <c r="N46" s="540">
        <f t="shared" si="22"/>
        <v>0</v>
      </c>
      <c r="O46" s="540">
        <f t="shared" si="22"/>
        <v>1571</v>
      </c>
      <c r="P46" s="540">
        <f t="shared" si="22"/>
        <v>36</v>
      </c>
      <c r="Q46" s="540">
        <f t="shared" si="22"/>
        <v>16</v>
      </c>
      <c r="R46" s="540">
        <f t="shared" si="22"/>
        <v>20</v>
      </c>
      <c r="S46" s="540">
        <f t="shared" si="22"/>
        <v>1555</v>
      </c>
      <c r="T46" s="751" t="s">
        <v>652</v>
      </c>
    </row>
    <row r="47" spans="1:20" ht="18" customHeight="1">
      <c r="A47" s="747"/>
      <c r="B47" s="748" t="s">
        <v>3</v>
      </c>
      <c r="C47" s="749">
        <v>13</v>
      </c>
      <c r="D47" s="749">
        <v>10</v>
      </c>
      <c r="E47" s="749">
        <f>C47*65</f>
        <v>845</v>
      </c>
      <c r="F47" s="749">
        <v>811</v>
      </c>
      <c r="G47" s="749">
        <f>E47+F47</f>
        <v>1656</v>
      </c>
      <c r="H47" s="541">
        <v>85</v>
      </c>
      <c r="I47" s="541">
        <f>G47-H47</f>
        <v>1571</v>
      </c>
      <c r="J47" s="541">
        <v>0</v>
      </c>
      <c r="K47" s="749">
        <v>0</v>
      </c>
      <c r="L47" s="749">
        <v>0</v>
      </c>
      <c r="M47" s="749">
        <v>0</v>
      </c>
      <c r="N47" s="541">
        <v>0</v>
      </c>
      <c r="O47" s="541">
        <f>I47+N47</f>
        <v>1571</v>
      </c>
      <c r="P47" s="678">
        <f>Q47+R47</f>
        <v>36</v>
      </c>
      <c r="Q47" s="678">
        <v>16</v>
      </c>
      <c r="R47" s="678">
        <v>20</v>
      </c>
      <c r="S47" s="679">
        <f t="shared" si="19"/>
        <v>1555</v>
      </c>
      <c r="T47" s="752"/>
    </row>
    <row r="48" spans="1:20" ht="18" customHeight="1" hidden="1">
      <c r="A48" s="747"/>
      <c r="B48" s="748" t="s">
        <v>2</v>
      </c>
      <c r="C48" s="749"/>
      <c r="D48" s="749"/>
      <c r="E48" s="749"/>
      <c r="F48" s="749"/>
      <c r="G48" s="749"/>
      <c r="H48" s="541"/>
      <c r="I48" s="541"/>
      <c r="J48" s="541"/>
      <c r="K48" s="749"/>
      <c r="L48" s="749"/>
      <c r="M48" s="749"/>
      <c r="N48" s="541"/>
      <c r="O48" s="541"/>
      <c r="P48" s="678"/>
      <c r="Q48" s="678"/>
      <c r="R48" s="678"/>
      <c r="S48" s="679">
        <f t="shared" si="19"/>
        <v>0</v>
      </c>
      <c r="T48" s="752"/>
    </row>
    <row r="49" spans="1:20" ht="18" customHeight="1">
      <c r="A49" s="747">
        <v>7</v>
      </c>
      <c r="B49" s="728" t="s">
        <v>601</v>
      </c>
      <c r="C49" s="540">
        <v>11</v>
      </c>
      <c r="D49" s="540">
        <v>10</v>
      </c>
      <c r="E49" s="540">
        <f>C49*65</f>
        <v>715</v>
      </c>
      <c r="F49" s="540">
        <v>951</v>
      </c>
      <c r="G49" s="540">
        <f>E49+F49</f>
        <v>1666</v>
      </c>
      <c r="H49" s="540">
        <v>72</v>
      </c>
      <c r="I49" s="540">
        <f>G49-H49</f>
        <v>1594</v>
      </c>
      <c r="J49" s="540">
        <v>0</v>
      </c>
      <c r="K49" s="540">
        <v>0</v>
      </c>
      <c r="L49" s="540">
        <v>0</v>
      </c>
      <c r="M49" s="540">
        <v>0</v>
      </c>
      <c r="N49" s="540">
        <v>0</v>
      </c>
      <c r="O49" s="280">
        <f>I49+N49</f>
        <v>1594</v>
      </c>
      <c r="P49" s="272">
        <f>Q49+R49</f>
        <v>100</v>
      </c>
      <c r="Q49" s="272">
        <v>60</v>
      </c>
      <c r="R49" s="272">
        <v>40</v>
      </c>
      <c r="S49" s="281">
        <f t="shared" si="19"/>
        <v>1534</v>
      </c>
      <c r="T49" s="751" t="s">
        <v>652</v>
      </c>
    </row>
    <row r="50" spans="1:20" ht="18" customHeight="1" hidden="1">
      <c r="A50" s="747"/>
      <c r="B50" s="286" t="s">
        <v>443</v>
      </c>
      <c r="C50" s="540"/>
      <c r="D50" s="540">
        <v>0</v>
      </c>
      <c r="E50" s="540">
        <f>C50*55</f>
        <v>0</v>
      </c>
      <c r="F50" s="540" t="e">
        <f>SUM(#REF!)*1.49*12</f>
        <v>#REF!</v>
      </c>
      <c r="G50" s="540" t="e">
        <f>E50+F50</f>
        <v>#REF!</v>
      </c>
      <c r="H50" s="280"/>
      <c r="I50" s="280" t="e">
        <f>G50-H50</f>
        <v>#REF!</v>
      </c>
      <c r="J50" s="280"/>
      <c r="K50" s="540"/>
      <c r="L50" s="540"/>
      <c r="M50" s="540"/>
      <c r="N50" s="280">
        <f t="shared" si="18"/>
        <v>0</v>
      </c>
      <c r="O50" s="280" t="e">
        <f t="shared" si="21"/>
        <v>#REF!</v>
      </c>
      <c r="P50" s="272"/>
      <c r="Q50" s="272"/>
      <c r="R50" s="272"/>
      <c r="S50" s="281" t="e">
        <f t="shared" si="19"/>
        <v>#REF!</v>
      </c>
      <c r="T50" s="751" t="s">
        <v>652</v>
      </c>
    </row>
    <row r="51" spans="1:20" ht="18" customHeight="1">
      <c r="A51" s="747">
        <v>8</v>
      </c>
      <c r="B51" s="728" t="s">
        <v>355</v>
      </c>
      <c r="C51" s="540">
        <v>11</v>
      </c>
      <c r="D51" s="540">
        <v>10</v>
      </c>
      <c r="E51" s="540">
        <f>C51*65</f>
        <v>715</v>
      </c>
      <c r="F51" s="540">
        <v>1010</v>
      </c>
      <c r="G51" s="540">
        <f>E51+F51</f>
        <v>1725</v>
      </c>
      <c r="H51" s="280">
        <v>72</v>
      </c>
      <c r="I51" s="280">
        <f>G51-H51</f>
        <v>1653</v>
      </c>
      <c r="J51" s="280">
        <v>0</v>
      </c>
      <c r="K51" s="540"/>
      <c r="L51" s="540"/>
      <c r="M51" s="540"/>
      <c r="N51" s="280">
        <f t="shared" si="18"/>
        <v>0</v>
      </c>
      <c r="O51" s="280">
        <f t="shared" si="21"/>
        <v>1653</v>
      </c>
      <c r="P51" s="272"/>
      <c r="Q51" s="272"/>
      <c r="R51" s="272"/>
      <c r="S51" s="281">
        <f t="shared" si="19"/>
        <v>1653</v>
      </c>
      <c r="T51" s="751" t="s">
        <v>652</v>
      </c>
    </row>
    <row r="52" spans="1:20" ht="21.75" customHeight="1">
      <c r="A52" s="747">
        <v>9</v>
      </c>
      <c r="B52" s="728" t="s">
        <v>358</v>
      </c>
      <c r="C52" s="540">
        <f>C53+C54</f>
        <v>27</v>
      </c>
      <c r="D52" s="540">
        <f>D53+D54</f>
        <v>26</v>
      </c>
      <c r="E52" s="540">
        <f>E53+E54</f>
        <v>1890</v>
      </c>
      <c r="F52" s="540">
        <f aca="true" t="shared" si="23" ref="F52:M52">SUM(F53:F59)</f>
        <v>2955</v>
      </c>
      <c r="G52" s="540">
        <f t="shared" si="23"/>
        <v>4845</v>
      </c>
      <c r="H52" s="540">
        <f t="shared" si="23"/>
        <v>189</v>
      </c>
      <c r="I52" s="540">
        <f t="shared" si="23"/>
        <v>4656</v>
      </c>
      <c r="J52" s="540">
        <f t="shared" si="23"/>
        <v>0</v>
      </c>
      <c r="K52" s="540">
        <f t="shared" si="23"/>
        <v>3800</v>
      </c>
      <c r="L52" s="540">
        <f t="shared" si="23"/>
        <v>104</v>
      </c>
      <c r="M52" s="540">
        <f t="shared" si="23"/>
        <v>14</v>
      </c>
      <c r="N52" s="280">
        <f t="shared" si="18"/>
        <v>3890</v>
      </c>
      <c r="O52" s="540">
        <f>SUM(O53:O59)</f>
        <v>8546</v>
      </c>
      <c r="P52" s="272"/>
      <c r="Q52" s="272"/>
      <c r="R52" s="272"/>
      <c r="S52" s="281">
        <f t="shared" si="19"/>
        <v>8546</v>
      </c>
      <c r="T52" s="751" t="s">
        <v>654</v>
      </c>
    </row>
    <row r="53" spans="1:20" s="285" customFormat="1" ht="18" customHeight="1">
      <c r="A53" s="747"/>
      <c r="B53" s="286" t="s">
        <v>442</v>
      </c>
      <c r="C53" s="540">
        <v>27</v>
      </c>
      <c r="D53" s="540">
        <v>26</v>
      </c>
      <c r="E53" s="540">
        <f>C53*70</f>
        <v>1890</v>
      </c>
      <c r="F53" s="540">
        <v>2875</v>
      </c>
      <c r="G53" s="540">
        <f aca="true" t="shared" si="24" ref="G53:G58">E53+F53</f>
        <v>4765</v>
      </c>
      <c r="H53" s="280">
        <f>E53*10%</f>
        <v>189</v>
      </c>
      <c r="I53" s="280">
        <f aca="true" t="shared" si="25" ref="I53:I58">G53-H53</f>
        <v>4576</v>
      </c>
      <c r="J53" s="280">
        <f>'PL 05'!T23</f>
        <v>0</v>
      </c>
      <c r="K53" s="540"/>
      <c r="L53" s="540">
        <f>'PL 05'!T14</f>
        <v>104</v>
      </c>
      <c r="M53" s="540">
        <f>'PL 05'!U14</f>
        <v>14</v>
      </c>
      <c r="N53" s="280">
        <f t="shared" si="18"/>
        <v>90</v>
      </c>
      <c r="O53" s="280">
        <f aca="true" t="shared" si="26" ref="O53:O59">I53+N53</f>
        <v>4666</v>
      </c>
      <c r="P53" s="272"/>
      <c r="Q53" s="272"/>
      <c r="R53" s="272"/>
      <c r="S53" s="281">
        <f t="shared" si="19"/>
        <v>4666</v>
      </c>
      <c r="T53" s="751"/>
    </row>
    <row r="54" spans="1:20" s="285" customFormat="1" ht="19.5" customHeight="1" hidden="1">
      <c r="A54" s="747"/>
      <c r="B54" s="286" t="s">
        <v>2</v>
      </c>
      <c r="C54" s="540"/>
      <c r="D54" s="540"/>
      <c r="E54" s="540"/>
      <c r="F54" s="540"/>
      <c r="G54" s="540">
        <f t="shared" si="24"/>
        <v>0</v>
      </c>
      <c r="H54" s="280"/>
      <c r="I54" s="280">
        <f t="shared" si="25"/>
        <v>0</v>
      </c>
      <c r="J54" s="280"/>
      <c r="K54" s="540"/>
      <c r="L54" s="540"/>
      <c r="M54" s="540"/>
      <c r="N54" s="280">
        <f t="shared" si="18"/>
        <v>0</v>
      </c>
      <c r="O54" s="280">
        <f t="shared" si="26"/>
        <v>0</v>
      </c>
      <c r="P54" s="272"/>
      <c r="Q54" s="272"/>
      <c r="R54" s="272"/>
      <c r="S54" s="281">
        <f t="shared" si="19"/>
        <v>0</v>
      </c>
      <c r="T54" s="751"/>
    </row>
    <row r="55" spans="1:20" ht="18" customHeight="1">
      <c r="A55" s="747"/>
      <c r="B55" s="768" t="s">
        <v>656</v>
      </c>
      <c r="C55" s="749"/>
      <c r="D55" s="749"/>
      <c r="E55" s="749"/>
      <c r="F55" s="749">
        <v>80</v>
      </c>
      <c r="G55" s="749">
        <f t="shared" si="24"/>
        <v>80</v>
      </c>
      <c r="H55" s="541">
        <f>E55*10%</f>
        <v>0</v>
      </c>
      <c r="I55" s="541">
        <f t="shared" si="25"/>
        <v>80</v>
      </c>
      <c r="J55" s="541"/>
      <c r="K55" s="749"/>
      <c r="L55" s="749"/>
      <c r="M55" s="749"/>
      <c r="N55" s="541">
        <f t="shared" si="18"/>
        <v>0</v>
      </c>
      <c r="O55" s="541">
        <f t="shared" si="26"/>
        <v>80</v>
      </c>
      <c r="P55" s="272"/>
      <c r="Q55" s="272"/>
      <c r="R55" s="272"/>
      <c r="S55" s="679">
        <f t="shared" si="19"/>
        <v>80</v>
      </c>
      <c r="T55" s="752"/>
    </row>
    <row r="56" spans="1:20" ht="18" customHeight="1">
      <c r="A56" s="747"/>
      <c r="B56" s="768" t="s">
        <v>440</v>
      </c>
      <c r="C56" s="749"/>
      <c r="D56" s="749"/>
      <c r="E56" s="749"/>
      <c r="F56" s="749"/>
      <c r="G56" s="749">
        <f t="shared" si="24"/>
        <v>0</v>
      </c>
      <c r="H56" s="541">
        <f>E56*10%</f>
        <v>0</v>
      </c>
      <c r="I56" s="541">
        <f t="shared" si="25"/>
        <v>0</v>
      </c>
      <c r="J56" s="541"/>
      <c r="K56" s="749">
        <v>285</v>
      </c>
      <c r="L56" s="749"/>
      <c r="M56" s="749"/>
      <c r="N56" s="541">
        <f t="shared" si="18"/>
        <v>285</v>
      </c>
      <c r="O56" s="541">
        <f t="shared" si="26"/>
        <v>285</v>
      </c>
      <c r="P56" s="272"/>
      <c r="Q56" s="272"/>
      <c r="R56" s="272"/>
      <c r="S56" s="679">
        <f t="shared" si="19"/>
        <v>285</v>
      </c>
      <c r="T56" s="752"/>
    </row>
    <row r="57" spans="1:20" ht="18" customHeight="1">
      <c r="A57" s="747"/>
      <c r="B57" s="768" t="s">
        <v>438</v>
      </c>
      <c r="C57" s="749"/>
      <c r="D57" s="749"/>
      <c r="E57" s="749"/>
      <c r="F57" s="749"/>
      <c r="G57" s="749">
        <f t="shared" si="24"/>
        <v>0</v>
      </c>
      <c r="H57" s="541">
        <f>E57*10%</f>
        <v>0</v>
      </c>
      <c r="I57" s="541">
        <f t="shared" si="25"/>
        <v>0</v>
      </c>
      <c r="J57" s="541"/>
      <c r="K57" s="749">
        <v>56</v>
      </c>
      <c r="L57" s="749"/>
      <c r="M57" s="749"/>
      <c r="N57" s="541">
        <f t="shared" si="18"/>
        <v>56</v>
      </c>
      <c r="O57" s="541">
        <f t="shared" si="26"/>
        <v>56</v>
      </c>
      <c r="P57" s="272"/>
      <c r="Q57" s="272"/>
      <c r="R57" s="272"/>
      <c r="S57" s="679">
        <f t="shared" si="19"/>
        <v>56</v>
      </c>
      <c r="T57" s="752"/>
    </row>
    <row r="58" spans="1:20" ht="18" customHeight="1">
      <c r="A58" s="747"/>
      <c r="B58" s="768" t="s">
        <v>439</v>
      </c>
      <c r="C58" s="749"/>
      <c r="D58" s="749"/>
      <c r="E58" s="749"/>
      <c r="F58" s="749"/>
      <c r="G58" s="749">
        <f t="shared" si="24"/>
        <v>0</v>
      </c>
      <c r="H58" s="541">
        <f>E58*10%</f>
        <v>0</v>
      </c>
      <c r="I58" s="541">
        <f t="shared" si="25"/>
        <v>0</v>
      </c>
      <c r="J58" s="541"/>
      <c r="K58" s="749">
        <v>224</v>
      </c>
      <c r="L58" s="749"/>
      <c r="M58" s="749"/>
      <c r="N58" s="541">
        <f t="shared" si="18"/>
        <v>224</v>
      </c>
      <c r="O58" s="541">
        <f t="shared" si="26"/>
        <v>224</v>
      </c>
      <c r="P58" s="284"/>
      <c r="Q58" s="284"/>
      <c r="R58" s="284"/>
      <c r="S58" s="679">
        <f t="shared" si="19"/>
        <v>224</v>
      </c>
      <c r="T58" s="752"/>
    </row>
    <row r="59" spans="1:20" ht="18" customHeight="1">
      <c r="A59" s="747"/>
      <c r="B59" s="769" t="s">
        <v>444</v>
      </c>
      <c r="C59" s="749"/>
      <c r="D59" s="749"/>
      <c r="E59" s="749"/>
      <c r="F59" s="749"/>
      <c r="G59" s="749"/>
      <c r="H59" s="541">
        <f>E59*10%</f>
        <v>0</v>
      </c>
      <c r="I59" s="541"/>
      <c r="J59" s="541"/>
      <c r="K59" s="749">
        <f>'DAC THU'!D39-QLNN!K56-QLNN!K57-QLNN!K58</f>
        <v>3235</v>
      </c>
      <c r="L59" s="749"/>
      <c r="M59" s="749"/>
      <c r="N59" s="541">
        <f t="shared" si="18"/>
        <v>3235</v>
      </c>
      <c r="O59" s="541">
        <f t="shared" si="26"/>
        <v>3235</v>
      </c>
      <c r="P59" s="272"/>
      <c r="Q59" s="272"/>
      <c r="R59" s="272"/>
      <c r="S59" s="679">
        <f t="shared" si="19"/>
        <v>3235</v>
      </c>
      <c r="T59" s="752"/>
    </row>
    <row r="60" spans="1:20" ht="18" customHeight="1">
      <c r="A60" s="747">
        <v>10</v>
      </c>
      <c r="B60" s="728" t="s">
        <v>377</v>
      </c>
      <c r="C60" s="540">
        <f>C61+C62</f>
        <v>6</v>
      </c>
      <c r="D60" s="540">
        <f aca="true" t="shared" si="27" ref="D60:O60">D61+D62</f>
        <v>5</v>
      </c>
      <c r="E60" s="540">
        <f t="shared" si="27"/>
        <v>390</v>
      </c>
      <c r="F60" s="540">
        <f t="shared" si="27"/>
        <v>503</v>
      </c>
      <c r="G60" s="540">
        <f t="shared" si="27"/>
        <v>893</v>
      </c>
      <c r="H60" s="540">
        <f t="shared" si="27"/>
        <v>39</v>
      </c>
      <c r="I60" s="540">
        <f t="shared" si="27"/>
        <v>854</v>
      </c>
      <c r="J60" s="540">
        <f t="shared" si="27"/>
        <v>0</v>
      </c>
      <c r="K60" s="540">
        <f t="shared" si="27"/>
        <v>0</v>
      </c>
      <c r="L60" s="540">
        <f t="shared" si="27"/>
        <v>0</v>
      </c>
      <c r="M60" s="540">
        <f t="shared" si="27"/>
        <v>0</v>
      </c>
      <c r="N60" s="540">
        <f t="shared" si="27"/>
        <v>0</v>
      </c>
      <c r="O60" s="540">
        <f t="shared" si="27"/>
        <v>854</v>
      </c>
      <c r="P60" s="272"/>
      <c r="Q60" s="272"/>
      <c r="R60" s="272"/>
      <c r="S60" s="281">
        <f t="shared" si="19"/>
        <v>854</v>
      </c>
      <c r="T60" s="751" t="s">
        <v>652</v>
      </c>
    </row>
    <row r="61" spans="1:20" ht="18" customHeight="1">
      <c r="A61" s="747"/>
      <c r="B61" s="748" t="s">
        <v>3</v>
      </c>
      <c r="C61" s="749">
        <v>6</v>
      </c>
      <c r="D61" s="749">
        <v>5</v>
      </c>
      <c r="E61" s="749">
        <f>C61*65</f>
        <v>390</v>
      </c>
      <c r="F61" s="749">
        <v>503</v>
      </c>
      <c r="G61" s="749">
        <f>E61+F61</f>
        <v>893</v>
      </c>
      <c r="H61" s="541">
        <f>E61*10%</f>
        <v>39</v>
      </c>
      <c r="I61" s="541">
        <f>G61-H61</f>
        <v>854</v>
      </c>
      <c r="J61" s="541">
        <v>0</v>
      </c>
      <c r="K61" s="749"/>
      <c r="L61" s="749"/>
      <c r="M61" s="749"/>
      <c r="N61" s="541">
        <f t="shared" si="18"/>
        <v>0</v>
      </c>
      <c r="O61" s="541">
        <f>I61+N61</f>
        <v>854</v>
      </c>
      <c r="P61" s="678"/>
      <c r="Q61" s="678"/>
      <c r="R61" s="678"/>
      <c r="S61" s="679">
        <f t="shared" si="19"/>
        <v>854</v>
      </c>
      <c r="T61" s="752"/>
    </row>
    <row r="62" spans="1:20" ht="18" customHeight="1" hidden="1">
      <c r="A62" s="747"/>
      <c r="B62" s="748" t="s">
        <v>2</v>
      </c>
      <c r="C62" s="749"/>
      <c r="D62" s="749"/>
      <c r="E62" s="749"/>
      <c r="F62" s="749"/>
      <c r="G62" s="749">
        <f>E62+F62</f>
        <v>0</v>
      </c>
      <c r="H62" s="541"/>
      <c r="I62" s="541">
        <f>G62-H62</f>
        <v>0</v>
      </c>
      <c r="J62" s="541"/>
      <c r="K62" s="749"/>
      <c r="L62" s="749"/>
      <c r="M62" s="749"/>
      <c r="N62" s="541">
        <f t="shared" si="18"/>
        <v>0</v>
      </c>
      <c r="O62" s="541">
        <f>I62+N62</f>
        <v>0</v>
      </c>
      <c r="P62" s="678"/>
      <c r="Q62" s="678"/>
      <c r="R62" s="678"/>
      <c r="S62" s="679">
        <f t="shared" si="19"/>
        <v>0</v>
      </c>
      <c r="T62" s="752"/>
    </row>
    <row r="63" spans="1:20" ht="18" customHeight="1">
      <c r="A63" s="747">
        <v>11</v>
      </c>
      <c r="B63" s="728" t="s">
        <v>359</v>
      </c>
      <c r="C63" s="540">
        <f>C64+C65</f>
        <v>6</v>
      </c>
      <c r="D63" s="540">
        <f>D64+D65</f>
        <v>6</v>
      </c>
      <c r="E63" s="540">
        <f>E64+E65</f>
        <v>390</v>
      </c>
      <c r="F63" s="540">
        <f>F64+F65</f>
        <v>625</v>
      </c>
      <c r="G63" s="540">
        <f aca="true" t="shared" si="28" ref="G63:R63">G64+G65</f>
        <v>1015</v>
      </c>
      <c r="H63" s="540">
        <f t="shared" si="28"/>
        <v>39</v>
      </c>
      <c r="I63" s="540">
        <f t="shared" si="28"/>
        <v>976</v>
      </c>
      <c r="J63" s="540">
        <f t="shared" si="28"/>
        <v>0</v>
      </c>
      <c r="K63" s="540">
        <f t="shared" si="28"/>
        <v>0</v>
      </c>
      <c r="L63" s="540">
        <f t="shared" si="28"/>
        <v>0</v>
      </c>
      <c r="M63" s="540">
        <f t="shared" si="28"/>
        <v>0</v>
      </c>
      <c r="N63" s="280">
        <f t="shared" si="18"/>
        <v>0</v>
      </c>
      <c r="O63" s="540">
        <f t="shared" si="28"/>
        <v>976</v>
      </c>
      <c r="P63" s="540">
        <f t="shared" si="28"/>
        <v>22.4</v>
      </c>
      <c r="Q63" s="540">
        <f t="shared" si="28"/>
        <v>13.44</v>
      </c>
      <c r="R63" s="540">
        <f t="shared" si="28"/>
        <v>8.959999999999999</v>
      </c>
      <c r="S63" s="281">
        <f t="shared" si="19"/>
        <v>962.56</v>
      </c>
      <c r="T63" s="751" t="s">
        <v>652</v>
      </c>
    </row>
    <row r="64" spans="1:20" ht="18" customHeight="1">
      <c r="A64" s="747"/>
      <c r="B64" s="748" t="s">
        <v>3</v>
      </c>
      <c r="C64" s="749">
        <v>6</v>
      </c>
      <c r="D64" s="749">
        <v>6</v>
      </c>
      <c r="E64" s="749">
        <f>C64*65</f>
        <v>390</v>
      </c>
      <c r="F64" s="749">
        <v>625</v>
      </c>
      <c r="G64" s="749">
        <f>E64+F64</f>
        <v>1015</v>
      </c>
      <c r="H64" s="541">
        <f>E64*10%</f>
        <v>39</v>
      </c>
      <c r="I64" s="541">
        <f>G64-H64</f>
        <v>976</v>
      </c>
      <c r="J64" s="541"/>
      <c r="K64" s="749"/>
      <c r="L64" s="749"/>
      <c r="M64" s="749"/>
      <c r="N64" s="541">
        <f t="shared" si="18"/>
        <v>0</v>
      </c>
      <c r="O64" s="541">
        <f>I64+N64</f>
        <v>976</v>
      </c>
      <c r="P64" s="770">
        <f>Q64+R64</f>
        <v>22.4</v>
      </c>
      <c r="Q64" s="757">
        <f>'THU DV'!F44</f>
        <v>13.44</v>
      </c>
      <c r="R64" s="757">
        <f>'THU DV'!G44</f>
        <v>8.959999999999999</v>
      </c>
      <c r="S64" s="679">
        <f t="shared" si="19"/>
        <v>962.56</v>
      </c>
      <c r="T64" s="752"/>
    </row>
    <row r="65" spans="1:20" ht="18" customHeight="1" hidden="1">
      <c r="A65" s="747"/>
      <c r="B65" s="748" t="s">
        <v>2</v>
      </c>
      <c r="C65" s="749"/>
      <c r="D65" s="749"/>
      <c r="E65" s="749"/>
      <c r="F65" s="749"/>
      <c r="G65" s="749">
        <f>E65+F65</f>
        <v>0</v>
      </c>
      <c r="H65" s="541"/>
      <c r="I65" s="541">
        <f>G65-H65</f>
        <v>0</v>
      </c>
      <c r="J65" s="541"/>
      <c r="K65" s="749"/>
      <c r="L65" s="749"/>
      <c r="M65" s="749"/>
      <c r="N65" s="541">
        <f t="shared" si="18"/>
        <v>0</v>
      </c>
      <c r="O65" s="541">
        <f>I65+N65</f>
        <v>0</v>
      </c>
      <c r="P65" s="678"/>
      <c r="Q65" s="678"/>
      <c r="R65" s="678"/>
      <c r="S65" s="679">
        <f t="shared" si="19"/>
        <v>0</v>
      </c>
      <c r="T65" s="752"/>
    </row>
    <row r="66" spans="1:20" ht="18" customHeight="1">
      <c r="A66" s="747">
        <v>12</v>
      </c>
      <c r="B66" s="728" t="s">
        <v>356</v>
      </c>
      <c r="C66" s="540">
        <f>SUM(C67:C68)</f>
        <v>12</v>
      </c>
      <c r="D66" s="540">
        <f>SUM(D67:D68)</f>
        <v>11</v>
      </c>
      <c r="E66" s="540">
        <f aca="true" t="shared" si="29" ref="E66:O66">SUM(E67:E68)</f>
        <v>780</v>
      </c>
      <c r="F66" s="540">
        <f t="shared" si="29"/>
        <v>1028</v>
      </c>
      <c r="G66" s="540">
        <f t="shared" si="29"/>
        <v>1808</v>
      </c>
      <c r="H66" s="540">
        <f t="shared" si="29"/>
        <v>78</v>
      </c>
      <c r="I66" s="540">
        <f t="shared" si="29"/>
        <v>1730</v>
      </c>
      <c r="J66" s="540">
        <f t="shared" si="29"/>
        <v>0</v>
      </c>
      <c r="K66" s="540">
        <f t="shared" si="29"/>
        <v>0</v>
      </c>
      <c r="L66" s="540">
        <f t="shared" si="29"/>
        <v>0</v>
      </c>
      <c r="M66" s="540">
        <f t="shared" si="29"/>
        <v>0</v>
      </c>
      <c r="N66" s="280">
        <f t="shared" si="18"/>
        <v>0</v>
      </c>
      <c r="O66" s="540">
        <f t="shared" si="29"/>
        <v>1730</v>
      </c>
      <c r="P66" s="272"/>
      <c r="Q66" s="272"/>
      <c r="R66" s="272"/>
      <c r="S66" s="281">
        <f t="shared" si="19"/>
        <v>1730</v>
      </c>
      <c r="T66" s="751" t="s">
        <v>652</v>
      </c>
    </row>
    <row r="67" spans="1:20" ht="18" customHeight="1">
      <c r="A67" s="747"/>
      <c r="B67" s="768" t="s">
        <v>356</v>
      </c>
      <c r="C67" s="749">
        <v>10</v>
      </c>
      <c r="D67" s="749">
        <v>10</v>
      </c>
      <c r="E67" s="749">
        <f>C67*65</f>
        <v>650</v>
      </c>
      <c r="F67" s="749">
        <v>923</v>
      </c>
      <c r="G67" s="749">
        <f>E67+F67</f>
        <v>1573</v>
      </c>
      <c r="H67" s="541">
        <f>E67*10%</f>
        <v>65</v>
      </c>
      <c r="I67" s="541">
        <f>G67-H67</f>
        <v>1508</v>
      </c>
      <c r="J67" s="541">
        <v>0</v>
      </c>
      <c r="K67" s="749"/>
      <c r="L67" s="749"/>
      <c r="M67" s="749">
        <v>0</v>
      </c>
      <c r="N67" s="541">
        <f t="shared" si="18"/>
        <v>0</v>
      </c>
      <c r="O67" s="541">
        <f>I67+N67</f>
        <v>1508</v>
      </c>
      <c r="P67" s="678"/>
      <c r="Q67" s="678"/>
      <c r="R67" s="678"/>
      <c r="S67" s="679">
        <f t="shared" si="19"/>
        <v>1508</v>
      </c>
      <c r="T67" s="751"/>
    </row>
    <row r="68" spans="1:20" ht="18" customHeight="1">
      <c r="A68" s="747"/>
      <c r="B68" s="768" t="s">
        <v>376</v>
      </c>
      <c r="C68" s="749">
        <v>2</v>
      </c>
      <c r="D68" s="749">
        <v>1</v>
      </c>
      <c r="E68" s="749">
        <f>C68*65</f>
        <v>130</v>
      </c>
      <c r="F68" s="749">
        <v>105</v>
      </c>
      <c r="G68" s="749">
        <f>E68+F68</f>
        <v>235</v>
      </c>
      <c r="H68" s="541">
        <f>E68*10%</f>
        <v>13</v>
      </c>
      <c r="I68" s="541">
        <f>G68-H68</f>
        <v>222</v>
      </c>
      <c r="J68" s="541"/>
      <c r="K68" s="749"/>
      <c r="L68" s="749"/>
      <c r="M68" s="749"/>
      <c r="N68" s="541">
        <f t="shared" si="18"/>
        <v>0</v>
      </c>
      <c r="O68" s="541">
        <f>I68+N68</f>
        <v>222</v>
      </c>
      <c r="P68" s="678"/>
      <c r="Q68" s="678"/>
      <c r="R68" s="678"/>
      <c r="S68" s="679">
        <f t="shared" si="19"/>
        <v>222</v>
      </c>
      <c r="T68" s="771"/>
    </row>
    <row r="69" spans="1:20" ht="18" customHeight="1">
      <c r="A69" s="747">
        <v>13</v>
      </c>
      <c r="B69" s="728" t="s">
        <v>357</v>
      </c>
      <c r="C69" s="540">
        <v>12</v>
      </c>
      <c r="D69" s="540">
        <v>11</v>
      </c>
      <c r="E69" s="540">
        <f>C69*65</f>
        <v>780</v>
      </c>
      <c r="F69" s="540">
        <v>1150</v>
      </c>
      <c r="G69" s="540">
        <f>E69+F69</f>
        <v>1930</v>
      </c>
      <c r="H69" s="280">
        <f>E69*10%</f>
        <v>78</v>
      </c>
      <c r="I69" s="280">
        <f>G69-H69</f>
        <v>1852</v>
      </c>
      <c r="J69" s="280">
        <f>'PL 05'!T22</f>
        <v>0</v>
      </c>
      <c r="K69" s="540">
        <f>'DAC THU'!D44</f>
        <v>2360</v>
      </c>
      <c r="L69" s="540">
        <f>'PL 05'!T15</f>
        <v>108</v>
      </c>
      <c r="M69" s="540">
        <f>'PL 05'!U15</f>
        <v>8</v>
      </c>
      <c r="N69" s="280">
        <f t="shared" si="18"/>
        <v>2460</v>
      </c>
      <c r="O69" s="280">
        <f>I69+N69</f>
        <v>4312</v>
      </c>
      <c r="P69" s="272"/>
      <c r="Q69" s="272"/>
      <c r="R69" s="272"/>
      <c r="S69" s="281">
        <f t="shared" si="19"/>
        <v>4312</v>
      </c>
      <c r="T69" s="751" t="s">
        <v>652</v>
      </c>
    </row>
    <row r="70" spans="1:20" s="677" customFormat="1" ht="51" customHeight="1">
      <c r="A70" s="687" t="s">
        <v>340</v>
      </c>
      <c r="B70" s="351" t="s">
        <v>803</v>
      </c>
      <c r="C70" s="676"/>
      <c r="D70" s="676"/>
      <c r="E70" s="676"/>
      <c r="F70" s="676"/>
      <c r="G70" s="284">
        <v>4180</v>
      </c>
      <c r="H70" s="284">
        <f>G70*10%</f>
        <v>418</v>
      </c>
      <c r="I70" s="284">
        <f>G70-H70</f>
        <v>3762</v>
      </c>
      <c r="J70" s="284"/>
      <c r="K70" s="284"/>
      <c r="L70" s="284"/>
      <c r="M70" s="284"/>
      <c r="N70" s="284"/>
      <c r="O70" s="284">
        <f>I70</f>
        <v>3762</v>
      </c>
      <c r="P70" s="284">
        <f>J70</f>
        <v>0</v>
      </c>
      <c r="Q70" s="284">
        <f>K70</f>
        <v>0</v>
      </c>
      <c r="R70" s="284">
        <f>L70</f>
        <v>0</v>
      </c>
      <c r="S70" s="284">
        <f>O70-Q70</f>
        <v>3762</v>
      </c>
      <c r="T70" s="264"/>
    </row>
  </sheetData>
  <sheetProtection/>
  <mergeCells count="30">
    <mergeCell ref="A5:T5"/>
    <mergeCell ref="A9:A12"/>
    <mergeCell ref="N10:N12"/>
    <mergeCell ref="J9:N9"/>
    <mergeCell ref="C3:F3"/>
    <mergeCell ref="I10:I12"/>
    <mergeCell ref="K10:K12"/>
    <mergeCell ref="L10:L12"/>
    <mergeCell ref="G10:G12"/>
    <mergeCell ref="A4:T4"/>
    <mergeCell ref="O9:O12"/>
    <mergeCell ref="D9:D12"/>
    <mergeCell ref="E9:I9"/>
    <mergeCell ref="E10:E12"/>
    <mergeCell ref="C9:C12"/>
    <mergeCell ref="A6:T6"/>
    <mergeCell ref="A7:T7"/>
    <mergeCell ref="F10:F12"/>
    <mergeCell ref="P10:P12"/>
    <mergeCell ref="Q10:Q12"/>
    <mergeCell ref="M10:M12"/>
    <mergeCell ref="T9:T12"/>
    <mergeCell ref="H10:H12"/>
    <mergeCell ref="B9:B12"/>
    <mergeCell ref="Q8:T8"/>
    <mergeCell ref="A26:A27"/>
    <mergeCell ref="J10:J12"/>
    <mergeCell ref="R10:R12"/>
    <mergeCell ref="S9:S12"/>
    <mergeCell ref="P9:R9"/>
  </mergeCells>
  <printOptions/>
  <pageMargins left="0.3937007874015748" right="0.31496062992125984" top="0.4724409448818898" bottom="0.4724409448818898" header="0.35433070866141736" footer="0.1968503937007874"/>
  <pageSetup horizontalDpi="600" verticalDpi="600" orientation="landscape" paperSize="9" scale="80" r:id="rId4"/>
  <headerFooter alignWithMargins="0">
    <oddFooter>&amp;CPage &amp;P</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rgb="FF0070C0"/>
  </sheetPr>
  <dimension ref="A1:AI75"/>
  <sheetViews>
    <sheetView zoomScalePageLayoutView="0" workbookViewId="0" topLeftCell="A1">
      <selection activeCell="A5" sqref="A5:AH5"/>
    </sheetView>
  </sheetViews>
  <sheetFormatPr defaultColWidth="8.8515625" defaultRowHeight="12.75"/>
  <cols>
    <col min="1" max="1" width="5.8515625" style="282" customWidth="1"/>
    <col min="2" max="2" width="31.28125" style="282" customWidth="1"/>
    <col min="3" max="3" width="6.7109375" style="282" customWidth="1"/>
    <col min="4" max="4" width="6.28125" style="282" customWidth="1"/>
    <col min="5" max="5" width="11.140625" style="282" hidden="1" customWidth="1"/>
    <col min="6" max="6" width="9.57421875" style="282" hidden="1" customWidth="1"/>
    <col min="7" max="7" width="8.140625" style="282" hidden="1" customWidth="1"/>
    <col min="8" max="10" width="9.00390625" style="282" hidden="1" customWidth="1"/>
    <col min="11" max="16" width="8.8515625" style="282" hidden="1" customWidth="1"/>
    <col min="17" max="17" width="7.421875" style="282" hidden="1" customWidth="1"/>
    <col min="18" max="18" width="9.00390625" style="282" hidden="1" customWidth="1"/>
    <col min="19" max="19" width="9.00390625" style="282" customWidth="1"/>
    <col min="20" max="21" width="9.140625" style="282" customWidth="1"/>
    <col min="22" max="22" width="8.421875" style="282" customWidth="1"/>
    <col min="23" max="23" width="9.140625" style="282" customWidth="1"/>
    <col min="24" max="24" width="11.140625" style="282" customWidth="1"/>
    <col min="25" max="25" width="9.421875" style="282" customWidth="1"/>
    <col min="26" max="26" width="9.00390625" style="282" customWidth="1"/>
    <col min="27" max="27" width="7.8515625" style="282" customWidth="1"/>
    <col min="28" max="29" width="8.28125" style="282" customWidth="1"/>
    <col min="30" max="30" width="10.7109375" style="282" customWidth="1"/>
    <col min="31" max="31" width="6.7109375" style="282" customWidth="1"/>
    <col min="32" max="33" width="7.28125" style="282" customWidth="1"/>
    <col min="34" max="34" width="8.8515625" style="282" customWidth="1"/>
    <col min="35" max="35" width="10.7109375" style="282" hidden="1" customWidth="1"/>
    <col min="36" max="16384" width="8.8515625" style="282" customWidth="1"/>
  </cols>
  <sheetData>
    <row r="1" spans="1:5" ht="16.5">
      <c r="A1" s="24" t="s">
        <v>852</v>
      </c>
      <c r="B1" s="870"/>
      <c r="C1" s="870"/>
      <c r="D1" s="870"/>
      <c r="E1" s="870"/>
    </row>
    <row r="2" spans="1:5" ht="15" customHeight="1">
      <c r="A2" s="24" t="s">
        <v>851</v>
      </c>
      <c r="B2" s="870"/>
      <c r="C2" s="870"/>
      <c r="D2" s="870"/>
      <c r="E2" s="870"/>
    </row>
    <row r="3" spans="1:34" ht="18.75">
      <c r="A3" s="917" t="s">
        <v>35</v>
      </c>
      <c r="B3" s="917"/>
      <c r="C3" s="917"/>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917"/>
      <c r="AE3" s="917"/>
      <c r="AF3" s="917"/>
      <c r="AG3" s="917"/>
      <c r="AH3" s="917"/>
    </row>
    <row r="4" spans="1:34" ht="21" customHeight="1">
      <c r="A4" s="927" t="s">
        <v>841</v>
      </c>
      <c r="B4" s="927"/>
      <c r="C4" s="927"/>
      <c r="D4" s="927"/>
      <c r="E4" s="927"/>
      <c r="F4" s="927"/>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7"/>
    </row>
    <row r="5" spans="1:34" ht="20.25" customHeight="1">
      <c r="A5" s="933" t="s">
        <v>853</v>
      </c>
      <c r="B5" s="933"/>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c r="AG5" s="933"/>
      <c r="AH5" s="933"/>
    </row>
    <row r="6" spans="30:34" ht="19.5" customHeight="1">
      <c r="AD6" s="871"/>
      <c r="AF6" s="934" t="s">
        <v>707</v>
      </c>
      <c r="AG6" s="934"/>
      <c r="AH6" s="934"/>
    </row>
    <row r="7" spans="1:34" ht="36" customHeight="1">
      <c r="A7" s="918" t="s">
        <v>266</v>
      </c>
      <c r="B7" s="918" t="s">
        <v>414</v>
      </c>
      <c r="C7" s="921" t="s">
        <v>346</v>
      </c>
      <c r="D7" s="921" t="s">
        <v>769</v>
      </c>
      <c r="E7" s="924" t="s">
        <v>452</v>
      </c>
      <c r="F7" s="925"/>
      <c r="G7" s="925"/>
      <c r="H7" s="925"/>
      <c r="I7" s="925"/>
      <c r="J7" s="925"/>
      <c r="K7" s="925"/>
      <c r="L7" s="925"/>
      <c r="M7" s="925"/>
      <c r="N7" s="925"/>
      <c r="O7" s="925"/>
      <c r="P7" s="925"/>
      <c r="Q7" s="925"/>
      <c r="R7" s="926"/>
      <c r="S7" s="918" t="s">
        <v>802</v>
      </c>
      <c r="T7" s="929" t="s">
        <v>485</v>
      </c>
      <c r="U7" s="929" t="s">
        <v>225</v>
      </c>
      <c r="V7" s="930" t="s">
        <v>261</v>
      </c>
      <c r="W7" s="930" t="s">
        <v>770</v>
      </c>
      <c r="X7" s="909" t="s">
        <v>772</v>
      </c>
      <c r="Y7" s="929" t="s">
        <v>560</v>
      </c>
      <c r="Z7" s="924" t="s">
        <v>515</v>
      </c>
      <c r="AA7" s="925"/>
      <c r="AB7" s="926"/>
      <c r="AC7" s="910" t="s">
        <v>779</v>
      </c>
      <c r="AD7" s="921" t="s">
        <v>813</v>
      </c>
      <c r="AE7" s="924" t="s">
        <v>34</v>
      </c>
      <c r="AF7" s="925"/>
      <c r="AG7" s="926"/>
      <c r="AH7" s="921" t="s">
        <v>774</v>
      </c>
    </row>
    <row r="8" spans="1:34" ht="18" customHeight="1">
      <c r="A8" s="919"/>
      <c r="B8" s="919"/>
      <c r="C8" s="922"/>
      <c r="D8" s="922"/>
      <c r="E8" s="918" t="s">
        <v>297</v>
      </c>
      <c r="F8" s="918" t="s">
        <v>453</v>
      </c>
      <c r="G8" s="918" t="s">
        <v>454</v>
      </c>
      <c r="H8" s="935"/>
      <c r="I8" s="935"/>
      <c r="J8" s="935"/>
      <c r="K8" s="935"/>
      <c r="L8" s="935"/>
      <c r="M8" s="935"/>
      <c r="N8" s="935"/>
      <c r="O8" s="935"/>
      <c r="P8" s="935"/>
      <c r="Q8" s="936"/>
      <c r="R8" s="918" t="s">
        <v>455</v>
      </c>
      <c r="S8" s="919"/>
      <c r="T8" s="929"/>
      <c r="U8" s="929"/>
      <c r="V8" s="931"/>
      <c r="W8" s="931"/>
      <c r="X8" s="909"/>
      <c r="Y8" s="929"/>
      <c r="Z8" s="909" t="s">
        <v>516</v>
      </c>
      <c r="AA8" s="928" t="s">
        <v>294</v>
      </c>
      <c r="AB8" s="928"/>
      <c r="AC8" s="910"/>
      <c r="AD8" s="922"/>
      <c r="AE8" s="909" t="s">
        <v>558</v>
      </c>
      <c r="AF8" s="928" t="s">
        <v>294</v>
      </c>
      <c r="AG8" s="928"/>
      <c r="AH8" s="922"/>
    </row>
    <row r="9" spans="1:34" ht="11.25" customHeight="1">
      <c r="A9" s="919"/>
      <c r="B9" s="919"/>
      <c r="C9" s="922"/>
      <c r="D9" s="922"/>
      <c r="E9" s="919"/>
      <c r="F9" s="919"/>
      <c r="G9" s="919"/>
      <c r="H9" s="872"/>
      <c r="I9" s="872"/>
      <c r="J9" s="872"/>
      <c r="K9" s="872"/>
      <c r="L9" s="872"/>
      <c r="M9" s="872"/>
      <c r="N9" s="872"/>
      <c r="O9" s="872"/>
      <c r="P9" s="872"/>
      <c r="Q9" s="873"/>
      <c r="R9" s="919"/>
      <c r="S9" s="919"/>
      <c r="T9" s="929"/>
      <c r="U9" s="929"/>
      <c r="V9" s="931"/>
      <c r="W9" s="931"/>
      <c r="X9" s="909"/>
      <c r="Y9" s="929"/>
      <c r="Z9" s="909"/>
      <c r="AA9" s="909" t="s">
        <v>295</v>
      </c>
      <c r="AB9" s="909" t="s">
        <v>554</v>
      </c>
      <c r="AC9" s="910"/>
      <c r="AD9" s="922"/>
      <c r="AE9" s="909"/>
      <c r="AF9" s="909" t="s">
        <v>698</v>
      </c>
      <c r="AG9" s="909" t="s">
        <v>701</v>
      </c>
      <c r="AH9" s="922"/>
    </row>
    <row r="10" spans="1:34" ht="11.25" customHeight="1">
      <c r="A10" s="919"/>
      <c r="B10" s="919"/>
      <c r="C10" s="922"/>
      <c r="D10" s="922"/>
      <c r="E10" s="919"/>
      <c r="F10" s="919"/>
      <c r="G10" s="919"/>
      <c r="H10" s="872"/>
      <c r="I10" s="872"/>
      <c r="J10" s="872"/>
      <c r="K10" s="872"/>
      <c r="L10" s="872"/>
      <c r="M10" s="872"/>
      <c r="N10" s="872"/>
      <c r="O10" s="872"/>
      <c r="P10" s="872"/>
      <c r="Q10" s="873"/>
      <c r="R10" s="919"/>
      <c r="S10" s="919"/>
      <c r="T10" s="929"/>
      <c r="U10" s="929"/>
      <c r="V10" s="931"/>
      <c r="W10" s="931"/>
      <c r="X10" s="909"/>
      <c r="Y10" s="929"/>
      <c r="Z10" s="909"/>
      <c r="AA10" s="909"/>
      <c r="AB10" s="909"/>
      <c r="AC10" s="910"/>
      <c r="AD10" s="922"/>
      <c r="AE10" s="909"/>
      <c r="AF10" s="909"/>
      <c r="AG10" s="909"/>
      <c r="AH10" s="922"/>
    </row>
    <row r="11" spans="1:34" ht="146.25" customHeight="1">
      <c r="A11" s="920"/>
      <c r="B11" s="920"/>
      <c r="C11" s="923"/>
      <c r="D11" s="923"/>
      <c r="E11" s="920"/>
      <c r="F11" s="920"/>
      <c r="G11" s="920"/>
      <c r="H11" s="776" t="s">
        <v>456</v>
      </c>
      <c r="I11" s="776" t="s">
        <v>457</v>
      </c>
      <c r="J11" s="776" t="s">
        <v>458</v>
      </c>
      <c r="K11" s="776" t="s">
        <v>459</v>
      </c>
      <c r="L11" s="776" t="s">
        <v>460</v>
      </c>
      <c r="M11" s="776" t="s">
        <v>461</v>
      </c>
      <c r="N11" s="776" t="s">
        <v>462</v>
      </c>
      <c r="O11" s="776" t="s">
        <v>463</v>
      </c>
      <c r="P11" s="776" t="s">
        <v>464</v>
      </c>
      <c r="Q11" s="776" t="s">
        <v>465</v>
      </c>
      <c r="R11" s="920"/>
      <c r="S11" s="920"/>
      <c r="T11" s="929"/>
      <c r="U11" s="929"/>
      <c r="V11" s="932"/>
      <c r="W11" s="932"/>
      <c r="X11" s="909"/>
      <c r="Y11" s="929"/>
      <c r="Z11" s="909"/>
      <c r="AA11" s="909"/>
      <c r="AB11" s="909"/>
      <c r="AC11" s="910"/>
      <c r="AD11" s="923"/>
      <c r="AE11" s="909"/>
      <c r="AF11" s="909"/>
      <c r="AG11" s="909"/>
      <c r="AH11" s="923"/>
    </row>
    <row r="12" spans="1:34" ht="30" customHeight="1">
      <c r="A12" s="268">
        <v>1</v>
      </c>
      <c r="B12" s="268">
        <v>2</v>
      </c>
      <c r="C12" s="268">
        <v>3</v>
      </c>
      <c r="D12" s="268">
        <v>4</v>
      </c>
      <c r="E12" s="268" t="s">
        <v>466</v>
      </c>
      <c r="F12" s="268" t="s">
        <v>467</v>
      </c>
      <c r="G12" s="268" t="s">
        <v>468</v>
      </c>
      <c r="H12" s="268">
        <v>9</v>
      </c>
      <c r="I12" s="268">
        <v>10</v>
      </c>
      <c r="J12" s="268">
        <v>11</v>
      </c>
      <c r="K12" s="268">
        <v>12</v>
      </c>
      <c r="L12" s="268">
        <v>13</v>
      </c>
      <c r="M12" s="268">
        <v>14</v>
      </c>
      <c r="N12" s="268">
        <v>15</v>
      </c>
      <c r="O12" s="268">
        <v>16</v>
      </c>
      <c r="P12" s="268">
        <v>17</v>
      </c>
      <c r="Q12" s="268">
        <v>18</v>
      </c>
      <c r="R12" s="268">
        <v>19</v>
      </c>
      <c r="S12" s="268">
        <v>5</v>
      </c>
      <c r="T12" s="268">
        <v>6</v>
      </c>
      <c r="U12" s="268">
        <v>7</v>
      </c>
      <c r="V12" s="268">
        <v>8</v>
      </c>
      <c r="W12" s="268">
        <v>9</v>
      </c>
      <c r="X12" s="268" t="s">
        <v>505</v>
      </c>
      <c r="Y12" s="268" t="s">
        <v>559</v>
      </c>
      <c r="Z12" s="268" t="s">
        <v>493</v>
      </c>
      <c r="AA12" s="268">
        <v>13</v>
      </c>
      <c r="AB12" s="268">
        <v>14</v>
      </c>
      <c r="AC12" s="268" t="s">
        <v>778</v>
      </c>
      <c r="AD12" s="268" t="s">
        <v>812</v>
      </c>
      <c r="AE12" s="268">
        <v>16</v>
      </c>
      <c r="AF12" s="268">
        <v>17</v>
      </c>
      <c r="AG12" s="268">
        <v>18</v>
      </c>
      <c r="AH12" s="268" t="s">
        <v>700</v>
      </c>
    </row>
    <row r="13" spans="1:35" ht="25.5" customHeight="1">
      <c r="A13" s="268"/>
      <c r="B13" s="776" t="s">
        <v>297</v>
      </c>
      <c r="C13" s="536">
        <f>C14+C32+C53+C57+C60+C61+C63+C66</f>
        <v>52</v>
      </c>
      <c r="D13" s="536">
        <f aca="true" t="shared" si="0" ref="D13:AH13">D14+D32+D53+D57+D60+D61+D63+D66</f>
        <v>46</v>
      </c>
      <c r="E13" s="536">
        <f t="shared" si="0"/>
        <v>406.92794475000005</v>
      </c>
      <c r="F13" s="536">
        <f t="shared" si="0"/>
        <v>291.058</v>
      </c>
      <c r="G13" s="536">
        <f t="shared" si="0"/>
        <v>4.806</v>
      </c>
      <c r="H13" s="536">
        <f t="shared" si="0"/>
        <v>2.65</v>
      </c>
      <c r="I13" s="536">
        <f t="shared" si="0"/>
        <v>0.2</v>
      </c>
      <c r="J13" s="536">
        <f t="shared" si="0"/>
        <v>0.655</v>
      </c>
      <c r="K13" s="536">
        <f t="shared" si="0"/>
        <v>0</v>
      </c>
      <c r="L13" s="536">
        <f t="shared" si="0"/>
        <v>0</v>
      </c>
      <c r="M13" s="536">
        <f t="shared" si="0"/>
        <v>0</v>
      </c>
      <c r="N13" s="536">
        <f t="shared" si="0"/>
        <v>0</v>
      </c>
      <c r="O13" s="536">
        <f t="shared" si="0"/>
        <v>0</v>
      </c>
      <c r="P13" s="536">
        <f t="shared" si="0"/>
        <v>0</v>
      </c>
      <c r="Q13" s="536">
        <f t="shared" si="0"/>
        <v>3.593</v>
      </c>
      <c r="R13" s="536">
        <f t="shared" si="0"/>
        <v>64.83491000000001</v>
      </c>
      <c r="S13" s="536">
        <f t="shared" si="0"/>
        <v>3132</v>
      </c>
      <c r="T13" s="536">
        <f t="shared" si="0"/>
        <v>1980</v>
      </c>
      <c r="U13" s="536">
        <f t="shared" si="0"/>
        <v>153306</v>
      </c>
      <c r="V13" s="536">
        <f t="shared" si="0"/>
        <v>2461.6</v>
      </c>
      <c r="W13" s="536">
        <f t="shared" si="0"/>
        <v>1991</v>
      </c>
      <c r="X13" s="536">
        <f t="shared" si="0"/>
        <v>162970.6</v>
      </c>
      <c r="Y13" s="536">
        <f t="shared" si="0"/>
        <v>5377.8</v>
      </c>
      <c r="Z13" s="536">
        <f t="shared" si="0"/>
        <v>200</v>
      </c>
      <c r="AA13" s="536">
        <f t="shared" si="0"/>
        <v>120</v>
      </c>
      <c r="AB13" s="536">
        <f t="shared" si="0"/>
        <v>80</v>
      </c>
      <c r="AC13" s="536">
        <f t="shared" si="0"/>
        <v>12</v>
      </c>
      <c r="AD13" s="536">
        <f t="shared" si="0"/>
        <v>157460.80000000002</v>
      </c>
      <c r="AE13" s="536">
        <f t="shared" si="0"/>
        <v>1012</v>
      </c>
      <c r="AF13" s="536">
        <f t="shared" si="0"/>
        <v>607.1999999999999</v>
      </c>
      <c r="AG13" s="536">
        <f t="shared" si="0"/>
        <v>404.8</v>
      </c>
      <c r="AH13" s="536">
        <f t="shared" si="0"/>
        <v>156853.6</v>
      </c>
      <c r="AI13" s="726">
        <f>X13-Y13</f>
        <v>157592.80000000002</v>
      </c>
    </row>
    <row r="14" spans="1:34" s="285" customFormat="1" ht="48.75" customHeight="1">
      <c r="A14" s="874" t="s">
        <v>268</v>
      </c>
      <c r="B14" s="875" t="s">
        <v>811</v>
      </c>
      <c r="C14" s="284">
        <f>C15+C28+C30</f>
        <v>34</v>
      </c>
      <c r="D14" s="284">
        <f aca="true" t="shared" si="1" ref="D14:AH14">D15+D28+D30</f>
        <v>29</v>
      </c>
      <c r="E14" s="284">
        <f t="shared" si="1"/>
        <v>203.2650374</v>
      </c>
      <c r="F14" s="284">
        <f t="shared" si="1"/>
        <v>116.156</v>
      </c>
      <c r="G14" s="284">
        <f t="shared" si="1"/>
        <v>4.806</v>
      </c>
      <c r="H14" s="284">
        <f t="shared" si="1"/>
        <v>1.5</v>
      </c>
      <c r="I14" s="284">
        <f t="shared" si="1"/>
        <v>0.2</v>
      </c>
      <c r="J14" s="284">
        <f t="shared" si="1"/>
        <v>0.40599999999999997</v>
      </c>
      <c r="K14" s="284">
        <f t="shared" si="1"/>
        <v>0</v>
      </c>
      <c r="L14" s="284">
        <f t="shared" si="1"/>
        <v>0</v>
      </c>
      <c r="M14" s="284">
        <f t="shared" si="1"/>
        <v>0</v>
      </c>
      <c r="N14" s="284">
        <f t="shared" si="1"/>
        <v>0</v>
      </c>
      <c r="O14" s="284">
        <f t="shared" si="1"/>
        <v>0</v>
      </c>
      <c r="P14" s="284">
        <f t="shared" si="1"/>
        <v>0</v>
      </c>
      <c r="Q14" s="284">
        <f t="shared" si="1"/>
        <v>2.7</v>
      </c>
      <c r="R14" s="284">
        <f t="shared" si="1"/>
        <v>23.404175000000002</v>
      </c>
      <c r="S14" s="284">
        <f t="shared" si="1"/>
        <v>2206</v>
      </c>
      <c r="T14" s="284">
        <f t="shared" si="1"/>
        <v>1530</v>
      </c>
      <c r="U14" s="284">
        <f t="shared" si="1"/>
        <v>1900</v>
      </c>
      <c r="V14" s="284">
        <f t="shared" si="1"/>
        <v>0</v>
      </c>
      <c r="W14" s="284">
        <f t="shared" si="1"/>
        <v>1991</v>
      </c>
      <c r="X14" s="284">
        <f t="shared" si="1"/>
        <v>7627</v>
      </c>
      <c r="Y14" s="284">
        <f t="shared" si="1"/>
        <v>323</v>
      </c>
      <c r="Z14" s="284">
        <f t="shared" si="1"/>
        <v>200</v>
      </c>
      <c r="AA14" s="284">
        <f t="shared" si="1"/>
        <v>120</v>
      </c>
      <c r="AB14" s="284">
        <f t="shared" si="1"/>
        <v>80</v>
      </c>
      <c r="AC14" s="284">
        <f t="shared" si="1"/>
        <v>12</v>
      </c>
      <c r="AD14" s="284">
        <f t="shared" si="1"/>
        <v>7172</v>
      </c>
      <c r="AE14" s="284">
        <f t="shared" si="1"/>
        <v>1012</v>
      </c>
      <c r="AF14" s="284">
        <f t="shared" si="1"/>
        <v>607.1999999999999</v>
      </c>
      <c r="AG14" s="284">
        <f t="shared" si="1"/>
        <v>404.8</v>
      </c>
      <c r="AH14" s="284">
        <f t="shared" si="1"/>
        <v>6564.8</v>
      </c>
    </row>
    <row r="15" spans="1:34" s="285" customFormat="1" ht="54" customHeight="1">
      <c r="A15" s="776">
        <v>1</v>
      </c>
      <c r="B15" s="263" t="s">
        <v>829</v>
      </c>
      <c r="C15" s="284">
        <f>C16+C17+C26</f>
        <v>19</v>
      </c>
      <c r="D15" s="284">
        <f aca="true" t="shared" si="2" ref="D15:AH15">D16+D17+D26</f>
        <v>16</v>
      </c>
      <c r="E15" s="284">
        <f t="shared" si="2"/>
        <v>107.104371</v>
      </c>
      <c r="F15" s="284">
        <f t="shared" si="2"/>
        <v>65.086</v>
      </c>
      <c r="G15" s="284">
        <f t="shared" si="2"/>
        <v>3.6</v>
      </c>
      <c r="H15" s="284">
        <f t="shared" si="2"/>
        <v>1</v>
      </c>
      <c r="I15" s="284">
        <f t="shared" si="2"/>
        <v>0.1</v>
      </c>
      <c r="J15" s="284">
        <f t="shared" si="2"/>
        <v>0</v>
      </c>
      <c r="K15" s="284">
        <f t="shared" si="2"/>
        <v>0</v>
      </c>
      <c r="L15" s="284">
        <f t="shared" si="2"/>
        <v>0</v>
      </c>
      <c r="M15" s="284">
        <f t="shared" si="2"/>
        <v>0</v>
      </c>
      <c r="N15" s="284">
        <f t="shared" si="2"/>
        <v>0</v>
      </c>
      <c r="O15" s="284">
        <f t="shared" si="2"/>
        <v>0</v>
      </c>
      <c r="P15" s="284">
        <f t="shared" si="2"/>
        <v>0</v>
      </c>
      <c r="Q15" s="284">
        <f t="shared" si="2"/>
        <v>2.5</v>
      </c>
      <c r="R15" s="284">
        <f t="shared" si="2"/>
        <v>11.142815</v>
      </c>
      <c r="S15" s="284">
        <f t="shared" si="2"/>
        <v>1197</v>
      </c>
      <c r="T15" s="284">
        <f t="shared" si="2"/>
        <v>855</v>
      </c>
      <c r="U15" s="284">
        <f t="shared" si="2"/>
        <v>1100</v>
      </c>
      <c r="V15" s="284">
        <f t="shared" si="2"/>
        <v>0</v>
      </c>
      <c r="W15" s="284">
        <f t="shared" si="2"/>
        <v>1991</v>
      </c>
      <c r="X15" s="284">
        <f t="shared" si="2"/>
        <v>5143</v>
      </c>
      <c r="Y15" s="284">
        <f t="shared" si="2"/>
        <v>175.5</v>
      </c>
      <c r="Z15" s="284">
        <f t="shared" si="2"/>
        <v>200</v>
      </c>
      <c r="AA15" s="284">
        <f t="shared" si="2"/>
        <v>120</v>
      </c>
      <c r="AB15" s="284">
        <f t="shared" si="2"/>
        <v>80</v>
      </c>
      <c r="AC15" s="284">
        <f t="shared" si="2"/>
        <v>12</v>
      </c>
      <c r="AD15" s="284">
        <f t="shared" si="2"/>
        <v>4835.5</v>
      </c>
      <c r="AE15" s="284">
        <f t="shared" si="2"/>
        <v>400</v>
      </c>
      <c r="AF15" s="284">
        <f t="shared" si="2"/>
        <v>240</v>
      </c>
      <c r="AG15" s="284">
        <f t="shared" si="2"/>
        <v>160</v>
      </c>
      <c r="AH15" s="284">
        <f t="shared" si="2"/>
        <v>4595.5</v>
      </c>
    </row>
    <row r="16" spans="1:34" s="285" customFormat="1" ht="36" customHeight="1">
      <c r="A16" s="776" t="s">
        <v>282</v>
      </c>
      <c r="B16" s="263" t="s">
        <v>672</v>
      </c>
      <c r="C16" s="284"/>
      <c r="D16" s="284"/>
      <c r="E16" s="284"/>
      <c r="F16" s="284"/>
      <c r="G16" s="284"/>
      <c r="H16" s="284"/>
      <c r="I16" s="284"/>
      <c r="J16" s="284"/>
      <c r="K16" s="284"/>
      <c r="L16" s="284"/>
      <c r="M16" s="284"/>
      <c r="N16" s="284"/>
      <c r="O16" s="284"/>
      <c r="P16" s="284"/>
      <c r="Q16" s="284"/>
      <c r="R16" s="284"/>
      <c r="S16" s="284"/>
      <c r="T16" s="284"/>
      <c r="U16" s="284">
        <v>200</v>
      </c>
      <c r="V16" s="284"/>
      <c r="W16" s="284">
        <f>'DAC THU'!D53</f>
        <v>100</v>
      </c>
      <c r="X16" s="284">
        <f>SUM(S16:W16)</f>
        <v>300</v>
      </c>
      <c r="Y16" s="876">
        <v>0</v>
      </c>
      <c r="Z16" s="284"/>
      <c r="AA16" s="284"/>
      <c r="AB16" s="284"/>
      <c r="AC16" s="284"/>
      <c r="AD16" s="536">
        <f>X16+Z16</f>
        <v>300</v>
      </c>
      <c r="AE16" s="352"/>
      <c r="AF16" s="352"/>
      <c r="AG16" s="352"/>
      <c r="AH16" s="536">
        <f>AD16-AF16</f>
        <v>300</v>
      </c>
    </row>
    <row r="17" spans="1:35" s="877" customFormat="1" ht="45" customHeight="1">
      <c r="A17" s="776" t="s">
        <v>283</v>
      </c>
      <c r="B17" s="263" t="s">
        <v>673</v>
      </c>
      <c r="C17" s="766">
        <f>C18+C21</f>
        <v>15</v>
      </c>
      <c r="D17" s="766">
        <f aca="true" t="shared" si="3" ref="D17:AI17">D18+D21</f>
        <v>12</v>
      </c>
      <c r="E17" s="766">
        <f t="shared" si="3"/>
        <v>93.413655</v>
      </c>
      <c r="F17" s="766">
        <f t="shared" si="3"/>
        <v>57.646</v>
      </c>
      <c r="G17" s="766">
        <f t="shared" si="3"/>
        <v>3.6</v>
      </c>
      <c r="H17" s="766">
        <f t="shared" si="3"/>
        <v>1</v>
      </c>
      <c r="I17" s="766">
        <f t="shared" si="3"/>
        <v>0.1</v>
      </c>
      <c r="J17" s="766">
        <f t="shared" si="3"/>
        <v>0</v>
      </c>
      <c r="K17" s="766">
        <f t="shared" si="3"/>
        <v>0</v>
      </c>
      <c r="L17" s="766">
        <f t="shared" si="3"/>
        <v>0</v>
      </c>
      <c r="M17" s="766">
        <f t="shared" si="3"/>
        <v>0</v>
      </c>
      <c r="N17" s="766">
        <f t="shared" si="3"/>
        <v>0</v>
      </c>
      <c r="O17" s="766">
        <f t="shared" si="3"/>
        <v>0</v>
      </c>
      <c r="P17" s="766">
        <f t="shared" si="3"/>
        <v>0</v>
      </c>
      <c r="Q17" s="766">
        <f t="shared" si="3"/>
        <v>2.5</v>
      </c>
      <c r="R17" s="766">
        <f t="shared" si="3"/>
        <v>9.394415</v>
      </c>
      <c r="S17" s="766">
        <f t="shared" si="3"/>
        <v>969</v>
      </c>
      <c r="T17" s="766">
        <f t="shared" si="3"/>
        <v>675</v>
      </c>
      <c r="U17" s="766">
        <f t="shared" si="3"/>
        <v>900</v>
      </c>
      <c r="V17" s="766">
        <f t="shared" si="3"/>
        <v>0</v>
      </c>
      <c r="W17" s="766">
        <f t="shared" si="3"/>
        <v>1891</v>
      </c>
      <c r="X17" s="766">
        <f t="shared" si="3"/>
        <v>4435</v>
      </c>
      <c r="Y17" s="766">
        <f t="shared" si="3"/>
        <v>157.5</v>
      </c>
      <c r="Z17" s="766">
        <f t="shared" si="3"/>
        <v>200</v>
      </c>
      <c r="AA17" s="766">
        <f t="shared" si="3"/>
        <v>120</v>
      </c>
      <c r="AB17" s="766">
        <f t="shared" si="3"/>
        <v>80</v>
      </c>
      <c r="AC17" s="766">
        <f t="shared" si="3"/>
        <v>12</v>
      </c>
      <c r="AD17" s="766">
        <f t="shared" si="3"/>
        <v>4145.5</v>
      </c>
      <c r="AE17" s="766">
        <f t="shared" si="3"/>
        <v>400</v>
      </c>
      <c r="AF17" s="766">
        <f t="shared" si="3"/>
        <v>240</v>
      </c>
      <c r="AG17" s="766">
        <f t="shared" si="3"/>
        <v>160</v>
      </c>
      <c r="AH17" s="766">
        <f t="shared" si="3"/>
        <v>3905.5</v>
      </c>
      <c r="AI17" s="766">
        <f t="shared" si="3"/>
        <v>0</v>
      </c>
    </row>
    <row r="18" spans="1:34" s="880" customFormat="1" ht="19.5" customHeight="1">
      <c r="A18" s="878"/>
      <c r="B18" s="879" t="s">
        <v>816</v>
      </c>
      <c r="C18" s="541">
        <f aca="true" t="shared" si="4" ref="C18:AH18">SUM(C19:C19)</f>
        <v>15</v>
      </c>
      <c r="D18" s="541">
        <f t="shared" si="4"/>
        <v>12</v>
      </c>
      <c r="E18" s="541">
        <f t="shared" si="4"/>
        <v>66.71624</v>
      </c>
      <c r="F18" s="541">
        <f t="shared" si="4"/>
        <v>34.56</v>
      </c>
      <c r="G18" s="541">
        <f t="shared" si="4"/>
        <v>1.9000000000000001</v>
      </c>
      <c r="H18" s="541">
        <f t="shared" si="4"/>
        <v>1</v>
      </c>
      <c r="I18" s="541">
        <f t="shared" si="4"/>
        <v>0.1</v>
      </c>
      <c r="J18" s="541">
        <f t="shared" si="4"/>
        <v>0</v>
      </c>
      <c r="K18" s="541">
        <f t="shared" si="4"/>
        <v>0</v>
      </c>
      <c r="L18" s="541">
        <f t="shared" si="4"/>
        <v>0</v>
      </c>
      <c r="M18" s="541">
        <f t="shared" si="4"/>
        <v>0</v>
      </c>
      <c r="N18" s="541">
        <f t="shared" si="4"/>
        <v>0</v>
      </c>
      <c r="O18" s="541">
        <f t="shared" si="4"/>
        <v>0</v>
      </c>
      <c r="P18" s="541">
        <f t="shared" si="4"/>
        <v>0</v>
      </c>
      <c r="Q18" s="541">
        <f t="shared" si="4"/>
        <v>0.8</v>
      </c>
      <c r="R18" s="541">
        <f t="shared" si="4"/>
        <v>8.316</v>
      </c>
      <c r="S18" s="541">
        <f t="shared" si="4"/>
        <v>792</v>
      </c>
      <c r="T18" s="541">
        <f t="shared" si="4"/>
        <v>675</v>
      </c>
      <c r="U18" s="541">
        <f t="shared" si="4"/>
        <v>0</v>
      </c>
      <c r="V18" s="541">
        <f t="shared" si="4"/>
        <v>0</v>
      </c>
      <c r="W18" s="541">
        <f t="shared" si="4"/>
        <v>0</v>
      </c>
      <c r="X18" s="541">
        <f t="shared" si="4"/>
        <v>1467</v>
      </c>
      <c r="Y18" s="541">
        <f t="shared" si="4"/>
        <v>67.5</v>
      </c>
      <c r="Z18" s="541">
        <f t="shared" si="4"/>
        <v>200</v>
      </c>
      <c r="AA18" s="541">
        <f t="shared" si="4"/>
        <v>120</v>
      </c>
      <c r="AB18" s="541">
        <f t="shared" si="4"/>
        <v>80</v>
      </c>
      <c r="AC18" s="541">
        <f t="shared" si="4"/>
        <v>12</v>
      </c>
      <c r="AD18" s="541">
        <f t="shared" si="4"/>
        <v>1267.5</v>
      </c>
      <c r="AE18" s="541">
        <f t="shared" si="4"/>
        <v>400</v>
      </c>
      <c r="AF18" s="541">
        <f t="shared" si="4"/>
        <v>240</v>
      </c>
      <c r="AG18" s="541">
        <f t="shared" si="4"/>
        <v>160</v>
      </c>
      <c r="AH18" s="541">
        <f t="shared" si="4"/>
        <v>1027.5</v>
      </c>
    </row>
    <row r="19" spans="1:35" s="285" customFormat="1" ht="19.5" customHeight="1">
      <c r="A19" s="268"/>
      <c r="B19" s="269" t="s">
        <v>469</v>
      </c>
      <c r="C19" s="280">
        <f>12+3</f>
        <v>15</v>
      </c>
      <c r="D19" s="280">
        <f>9+3</f>
        <v>12</v>
      </c>
      <c r="E19" s="280">
        <f>(F19+G19+R19)*1.49</f>
        <v>66.71624</v>
      </c>
      <c r="F19" s="280">
        <v>34.56</v>
      </c>
      <c r="G19" s="280">
        <f>SUM(H19:Q19)</f>
        <v>1.9000000000000001</v>
      </c>
      <c r="H19" s="280">
        <v>1</v>
      </c>
      <c r="I19" s="280">
        <v>0.1</v>
      </c>
      <c r="J19" s="280"/>
      <c r="K19" s="280"/>
      <c r="L19" s="280"/>
      <c r="M19" s="280"/>
      <c r="N19" s="280"/>
      <c r="O19" s="280"/>
      <c r="P19" s="280"/>
      <c r="Q19" s="280">
        <v>0.8</v>
      </c>
      <c r="R19" s="280">
        <f>(F19-3.66+H19-0.4)*23.5%+(3.66+0.4)*22.5%</f>
        <v>8.316</v>
      </c>
      <c r="S19" s="280">
        <v>792</v>
      </c>
      <c r="T19" s="280">
        <f>C19*45</f>
        <v>675</v>
      </c>
      <c r="U19" s="280"/>
      <c r="V19" s="280">
        <v>0</v>
      </c>
      <c r="W19" s="280"/>
      <c r="X19" s="280">
        <f>SUM(S19:W19)</f>
        <v>1467</v>
      </c>
      <c r="Y19" s="280">
        <f>(T19)*10%</f>
        <v>67.5</v>
      </c>
      <c r="Z19" s="280">
        <f>AA19+AB19</f>
        <v>200</v>
      </c>
      <c r="AA19" s="280">
        <f>'thu HP'!H46</f>
        <v>120</v>
      </c>
      <c r="AB19" s="280">
        <f>'thu HP'!I46</f>
        <v>80</v>
      </c>
      <c r="AC19" s="280">
        <f>AA19*10%</f>
        <v>12</v>
      </c>
      <c r="AD19" s="281">
        <f>X19-Y19-AA19-AC19</f>
        <v>1267.5</v>
      </c>
      <c r="AE19" s="272">
        <f>AF19+AG19</f>
        <v>400</v>
      </c>
      <c r="AF19" s="762">
        <f>'THU DV'!F27</f>
        <v>240</v>
      </c>
      <c r="AG19" s="762">
        <f>'THU DV'!G27</f>
        <v>160</v>
      </c>
      <c r="AH19" s="281">
        <f>AD19-AF19</f>
        <v>1027.5</v>
      </c>
      <c r="AI19" s="285" t="s">
        <v>677</v>
      </c>
    </row>
    <row r="20" spans="1:34" s="285" customFormat="1" ht="19.5" customHeight="1">
      <c r="A20" s="268"/>
      <c r="B20" s="269"/>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1"/>
      <c r="AE20" s="272"/>
      <c r="AF20" s="762"/>
      <c r="AG20" s="762"/>
      <c r="AH20" s="281"/>
    </row>
    <row r="21" spans="1:34" s="880" customFormat="1" ht="19.5" customHeight="1">
      <c r="A21" s="878"/>
      <c r="B21" s="879" t="s">
        <v>814</v>
      </c>
      <c r="C21" s="541">
        <f>SUM(C22:C25)</f>
        <v>0</v>
      </c>
      <c r="D21" s="541">
        <f aca="true" t="shared" si="5" ref="D21:AH21">SUM(D22:D25)</f>
        <v>0</v>
      </c>
      <c r="E21" s="541">
        <f t="shared" si="5"/>
        <v>26.697415</v>
      </c>
      <c r="F21" s="541">
        <f t="shared" si="5"/>
        <v>23.086</v>
      </c>
      <c r="G21" s="541">
        <f t="shared" si="5"/>
        <v>1.7</v>
      </c>
      <c r="H21" s="541">
        <f t="shared" si="5"/>
        <v>0</v>
      </c>
      <c r="I21" s="541">
        <f t="shared" si="5"/>
        <v>0</v>
      </c>
      <c r="J21" s="541">
        <f t="shared" si="5"/>
        <v>0</v>
      </c>
      <c r="K21" s="541">
        <f t="shared" si="5"/>
        <v>0</v>
      </c>
      <c r="L21" s="541">
        <f t="shared" si="5"/>
        <v>0</v>
      </c>
      <c r="M21" s="541">
        <f t="shared" si="5"/>
        <v>0</v>
      </c>
      <c r="N21" s="541">
        <f t="shared" si="5"/>
        <v>0</v>
      </c>
      <c r="O21" s="541">
        <f t="shared" si="5"/>
        <v>0</v>
      </c>
      <c r="P21" s="541">
        <f t="shared" si="5"/>
        <v>0</v>
      </c>
      <c r="Q21" s="541">
        <f t="shared" si="5"/>
        <v>1.7</v>
      </c>
      <c r="R21" s="541">
        <f t="shared" si="5"/>
        <v>1.0784150000000001</v>
      </c>
      <c r="S21" s="541">
        <f t="shared" si="5"/>
        <v>177</v>
      </c>
      <c r="T21" s="541">
        <f t="shared" si="5"/>
        <v>0</v>
      </c>
      <c r="U21" s="541">
        <f t="shared" si="5"/>
        <v>900</v>
      </c>
      <c r="V21" s="541">
        <f t="shared" si="5"/>
        <v>0</v>
      </c>
      <c r="W21" s="541">
        <f t="shared" si="5"/>
        <v>1891</v>
      </c>
      <c r="X21" s="541">
        <f t="shared" si="5"/>
        <v>2968</v>
      </c>
      <c r="Y21" s="541">
        <f t="shared" si="5"/>
        <v>90</v>
      </c>
      <c r="Z21" s="541">
        <f t="shared" si="5"/>
        <v>0</v>
      </c>
      <c r="AA21" s="541">
        <f t="shared" si="5"/>
        <v>0</v>
      </c>
      <c r="AB21" s="541">
        <f t="shared" si="5"/>
        <v>0</v>
      </c>
      <c r="AC21" s="541">
        <f t="shared" si="5"/>
        <v>0</v>
      </c>
      <c r="AD21" s="541">
        <f t="shared" si="5"/>
        <v>2878</v>
      </c>
      <c r="AE21" s="541">
        <f t="shared" si="5"/>
        <v>0</v>
      </c>
      <c r="AF21" s="541">
        <f t="shared" si="5"/>
        <v>0</v>
      </c>
      <c r="AG21" s="541">
        <f t="shared" si="5"/>
        <v>0</v>
      </c>
      <c r="AH21" s="541">
        <f t="shared" si="5"/>
        <v>2878</v>
      </c>
    </row>
    <row r="22" spans="1:34" ht="32.25" customHeight="1">
      <c r="A22" s="268"/>
      <c r="B22" s="269" t="s">
        <v>815</v>
      </c>
      <c r="C22" s="280"/>
      <c r="D22" s="280"/>
      <c r="E22" s="280"/>
      <c r="F22" s="280"/>
      <c r="G22" s="280"/>
      <c r="H22" s="280"/>
      <c r="I22" s="280"/>
      <c r="J22" s="280"/>
      <c r="K22" s="280"/>
      <c r="L22" s="280"/>
      <c r="M22" s="280"/>
      <c r="N22" s="280"/>
      <c r="O22" s="280"/>
      <c r="P22" s="280"/>
      <c r="Q22" s="280"/>
      <c r="R22" s="280"/>
      <c r="S22" s="280"/>
      <c r="T22" s="280"/>
      <c r="U22" s="280">
        <v>900</v>
      </c>
      <c r="V22" s="280"/>
      <c r="W22" s="280">
        <f>'DAC THU'!D56</f>
        <v>171</v>
      </c>
      <c r="X22" s="280">
        <f>SUM(S22:W22)</f>
        <v>1071</v>
      </c>
      <c r="Y22" s="280">
        <f>U22*10%</f>
        <v>90</v>
      </c>
      <c r="Z22" s="280">
        <f aca="true" t="shared" si="6" ref="Z22:Z31">AA22+AB22</f>
        <v>0</v>
      </c>
      <c r="AA22" s="280"/>
      <c r="AB22" s="280"/>
      <c r="AC22" s="280"/>
      <c r="AD22" s="281">
        <f>X22-Y22-AA22-AC22</f>
        <v>981</v>
      </c>
      <c r="AE22" s="272">
        <f aca="true" t="shared" si="7" ref="AE22:AE31">AF22+AG22</f>
        <v>0</v>
      </c>
      <c r="AF22" s="280"/>
      <c r="AG22" s="280"/>
      <c r="AH22" s="281">
        <f>AD22-AF22</f>
        <v>981</v>
      </c>
    </row>
    <row r="23" spans="1:34" ht="19.5" customHeight="1">
      <c r="A23" s="268"/>
      <c r="B23" s="269" t="s">
        <v>834</v>
      </c>
      <c r="C23" s="280"/>
      <c r="D23" s="280"/>
      <c r="E23" s="280"/>
      <c r="F23" s="280"/>
      <c r="G23" s="280"/>
      <c r="H23" s="280"/>
      <c r="I23" s="280"/>
      <c r="J23" s="280"/>
      <c r="K23" s="280"/>
      <c r="L23" s="280"/>
      <c r="M23" s="280"/>
      <c r="N23" s="280"/>
      <c r="O23" s="280"/>
      <c r="P23" s="280"/>
      <c r="Q23" s="280"/>
      <c r="R23" s="280"/>
      <c r="S23" s="280"/>
      <c r="T23" s="280"/>
      <c r="U23" s="280"/>
      <c r="V23" s="280"/>
      <c r="W23" s="280">
        <f>'DAC THU'!D58</f>
        <v>650</v>
      </c>
      <c r="X23" s="280">
        <f>SUM(S23:W23)</f>
        <v>650</v>
      </c>
      <c r="Y23" s="280"/>
      <c r="Z23" s="280"/>
      <c r="AA23" s="280"/>
      <c r="AB23" s="280"/>
      <c r="AC23" s="280"/>
      <c r="AD23" s="281">
        <f>X23-Y23-AA23-AC23</f>
        <v>650</v>
      </c>
      <c r="AE23" s="272"/>
      <c r="AF23" s="280"/>
      <c r="AG23" s="280"/>
      <c r="AH23" s="281">
        <f>AD23-AF23</f>
        <v>650</v>
      </c>
    </row>
    <row r="24" spans="1:34" ht="31.5" customHeight="1">
      <c r="A24" s="268"/>
      <c r="B24" s="269" t="s">
        <v>836</v>
      </c>
      <c r="C24" s="280"/>
      <c r="D24" s="280"/>
      <c r="E24" s="280">
        <f>F24+R24+G24*1.49</f>
        <v>13.197415</v>
      </c>
      <c r="F24" s="280">
        <v>9.586</v>
      </c>
      <c r="G24" s="280">
        <f>SUM(H24:Q24)</f>
        <v>1.7</v>
      </c>
      <c r="H24" s="280"/>
      <c r="I24" s="280"/>
      <c r="J24" s="280"/>
      <c r="K24" s="280"/>
      <c r="L24" s="280"/>
      <c r="M24" s="280"/>
      <c r="N24" s="280"/>
      <c r="O24" s="280"/>
      <c r="P24" s="280"/>
      <c r="Q24" s="280">
        <f>0.85*2</f>
        <v>1.7</v>
      </c>
      <c r="R24" s="280">
        <f>4.589*23.5%</f>
        <v>1.0784150000000001</v>
      </c>
      <c r="S24" s="280">
        <v>177</v>
      </c>
      <c r="T24" s="280"/>
      <c r="U24" s="280"/>
      <c r="V24" s="280"/>
      <c r="W24" s="280">
        <f>'DAC THU'!D59</f>
        <v>300</v>
      </c>
      <c r="X24" s="280">
        <f>SUM(S24:W24)</f>
        <v>477</v>
      </c>
      <c r="Y24" s="881"/>
      <c r="Z24" s="280">
        <f t="shared" si="6"/>
        <v>0</v>
      </c>
      <c r="AA24" s="280"/>
      <c r="AB24" s="280"/>
      <c r="AC24" s="280"/>
      <c r="AD24" s="281">
        <f>X24+Z24</f>
        <v>477</v>
      </c>
      <c r="AE24" s="272">
        <f t="shared" si="7"/>
        <v>0</v>
      </c>
      <c r="AF24" s="272"/>
      <c r="AG24" s="272"/>
      <c r="AH24" s="281">
        <f>AD24-AF24</f>
        <v>477</v>
      </c>
    </row>
    <row r="25" spans="1:34" ht="19.5" customHeight="1">
      <c r="A25" s="268"/>
      <c r="B25" s="269" t="s">
        <v>835</v>
      </c>
      <c r="C25" s="280"/>
      <c r="D25" s="280"/>
      <c r="E25" s="280">
        <f>F25+R25+G25*1.49</f>
        <v>13.5</v>
      </c>
      <c r="F25" s="280">
        <v>13.5</v>
      </c>
      <c r="G25" s="280">
        <f>SUM(H25:Q25)</f>
        <v>0</v>
      </c>
      <c r="H25" s="280"/>
      <c r="I25" s="280"/>
      <c r="J25" s="280"/>
      <c r="K25" s="280"/>
      <c r="L25" s="280"/>
      <c r="M25" s="280"/>
      <c r="N25" s="280"/>
      <c r="O25" s="280"/>
      <c r="P25" s="280"/>
      <c r="Q25" s="280"/>
      <c r="R25" s="280"/>
      <c r="S25" s="280"/>
      <c r="T25" s="280"/>
      <c r="U25" s="280">
        <v>0</v>
      </c>
      <c r="V25" s="280"/>
      <c r="W25" s="280">
        <f>'DAC THU'!D57</f>
        <v>770</v>
      </c>
      <c r="X25" s="280">
        <f>SUM(S25:W25)</f>
        <v>770</v>
      </c>
      <c r="Y25" s="881"/>
      <c r="Z25" s="280">
        <f t="shared" si="6"/>
        <v>0</v>
      </c>
      <c r="AA25" s="280"/>
      <c r="AB25" s="280"/>
      <c r="AC25" s="280"/>
      <c r="AD25" s="281">
        <f>X25+Z25</f>
        <v>770</v>
      </c>
      <c r="AE25" s="272">
        <f t="shared" si="7"/>
        <v>0</v>
      </c>
      <c r="AF25" s="272"/>
      <c r="AG25" s="272"/>
      <c r="AH25" s="281">
        <f>AD25-AF25</f>
        <v>770</v>
      </c>
    </row>
    <row r="26" spans="1:34" s="877" customFormat="1" ht="42" customHeight="1">
      <c r="A26" s="776" t="s">
        <v>316</v>
      </c>
      <c r="B26" s="263" t="s">
        <v>674</v>
      </c>
      <c r="C26" s="766">
        <f>C27</f>
        <v>4</v>
      </c>
      <c r="D26" s="766">
        <f aca="true" t="shared" si="8" ref="D26:AH26">D27</f>
        <v>4</v>
      </c>
      <c r="E26" s="766">
        <f t="shared" si="8"/>
        <v>13.690716</v>
      </c>
      <c r="F26" s="766">
        <f t="shared" si="8"/>
        <v>7.44</v>
      </c>
      <c r="G26" s="766">
        <f t="shared" si="8"/>
        <v>0</v>
      </c>
      <c r="H26" s="766">
        <f t="shared" si="8"/>
        <v>0</v>
      </c>
      <c r="I26" s="766">
        <f t="shared" si="8"/>
        <v>0</v>
      </c>
      <c r="J26" s="766">
        <f t="shared" si="8"/>
        <v>0</v>
      </c>
      <c r="K26" s="766">
        <f t="shared" si="8"/>
        <v>0</v>
      </c>
      <c r="L26" s="766">
        <f t="shared" si="8"/>
        <v>0</v>
      </c>
      <c r="M26" s="766">
        <f t="shared" si="8"/>
        <v>0</v>
      </c>
      <c r="N26" s="766">
        <f t="shared" si="8"/>
        <v>0</v>
      </c>
      <c r="O26" s="766">
        <f t="shared" si="8"/>
        <v>0</v>
      </c>
      <c r="P26" s="766">
        <f t="shared" si="8"/>
        <v>0</v>
      </c>
      <c r="Q26" s="766">
        <f t="shared" si="8"/>
        <v>0</v>
      </c>
      <c r="R26" s="766">
        <f t="shared" si="8"/>
        <v>1.7484</v>
      </c>
      <c r="S26" s="766">
        <f t="shared" si="8"/>
        <v>228</v>
      </c>
      <c r="T26" s="766">
        <f t="shared" si="8"/>
        <v>180</v>
      </c>
      <c r="U26" s="766">
        <f t="shared" si="8"/>
        <v>0</v>
      </c>
      <c r="V26" s="766">
        <f t="shared" si="8"/>
        <v>0</v>
      </c>
      <c r="W26" s="766">
        <f t="shared" si="8"/>
        <v>0</v>
      </c>
      <c r="X26" s="766">
        <f t="shared" si="8"/>
        <v>408</v>
      </c>
      <c r="Y26" s="766">
        <f t="shared" si="8"/>
        <v>18</v>
      </c>
      <c r="Z26" s="766">
        <f t="shared" si="8"/>
        <v>0</v>
      </c>
      <c r="AA26" s="766">
        <f t="shared" si="8"/>
        <v>0</v>
      </c>
      <c r="AB26" s="766">
        <f t="shared" si="8"/>
        <v>0</v>
      </c>
      <c r="AC26" s="766">
        <f t="shared" si="8"/>
        <v>0</v>
      </c>
      <c r="AD26" s="766">
        <f t="shared" si="8"/>
        <v>390</v>
      </c>
      <c r="AE26" s="766">
        <f t="shared" si="8"/>
        <v>0</v>
      </c>
      <c r="AF26" s="766">
        <f t="shared" si="8"/>
        <v>0</v>
      </c>
      <c r="AG26" s="766">
        <f t="shared" si="8"/>
        <v>0</v>
      </c>
      <c r="AH26" s="766">
        <f t="shared" si="8"/>
        <v>390</v>
      </c>
    </row>
    <row r="27" spans="1:35" ht="21" customHeight="1">
      <c r="A27" s="268"/>
      <c r="B27" s="269" t="s">
        <v>470</v>
      </c>
      <c r="C27" s="280">
        <f>3+1</f>
        <v>4</v>
      </c>
      <c r="D27" s="280">
        <f>3+1</f>
        <v>4</v>
      </c>
      <c r="E27" s="280">
        <f>(F27+G27+R27)*1.49</f>
        <v>13.690716</v>
      </c>
      <c r="F27" s="280">
        <v>7.44</v>
      </c>
      <c r="G27" s="280">
        <v>0</v>
      </c>
      <c r="H27" s="280">
        <v>0</v>
      </c>
      <c r="I27" s="280">
        <v>0</v>
      </c>
      <c r="J27" s="280">
        <v>0</v>
      </c>
      <c r="K27" s="280"/>
      <c r="L27" s="280"/>
      <c r="M27" s="280"/>
      <c r="N27" s="280"/>
      <c r="O27" s="280"/>
      <c r="P27" s="280"/>
      <c r="Q27" s="280"/>
      <c r="R27" s="280">
        <f>F27*23.5%</f>
        <v>1.7484</v>
      </c>
      <c r="S27" s="280">
        <v>228</v>
      </c>
      <c r="T27" s="280">
        <f>C27*45</f>
        <v>180</v>
      </c>
      <c r="U27" s="280"/>
      <c r="V27" s="280"/>
      <c r="W27" s="280"/>
      <c r="X27" s="280">
        <f>SUM(S27:W27)</f>
        <v>408</v>
      </c>
      <c r="Y27" s="280">
        <v>18</v>
      </c>
      <c r="Z27" s="280">
        <f t="shared" si="6"/>
        <v>0</v>
      </c>
      <c r="AA27" s="280"/>
      <c r="AB27" s="280"/>
      <c r="AC27" s="280"/>
      <c r="AD27" s="281">
        <f>X27-Y27-AA27-AC27</f>
        <v>390</v>
      </c>
      <c r="AE27" s="272">
        <f t="shared" si="7"/>
        <v>0</v>
      </c>
      <c r="AF27" s="272"/>
      <c r="AG27" s="272"/>
      <c r="AH27" s="281">
        <f>AD27-AF27</f>
        <v>390</v>
      </c>
      <c r="AI27" s="285" t="s">
        <v>677</v>
      </c>
    </row>
    <row r="28" spans="1:34" s="285" customFormat="1" ht="59.25" customHeight="1">
      <c r="A28" s="776">
        <v>2</v>
      </c>
      <c r="B28" s="263" t="s">
        <v>810</v>
      </c>
      <c r="C28" s="284">
        <f>C29</f>
        <v>11</v>
      </c>
      <c r="D28" s="284">
        <f aca="true" t="shared" si="9" ref="D28:AH28">D29</f>
        <v>9</v>
      </c>
      <c r="E28" s="284">
        <f t="shared" si="9"/>
        <v>50.015277000000005</v>
      </c>
      <c r="F28" s="284">
        <f t="shared" si="9"/>
        <v>26.73</v>
      </c>
      <c r="G28" s="284">
        <f t="shared" si="9"/>
        <v>0.45</v>
      </c>
      <c r="H28" s="284">
        <f t="shared" si="9"/>
        <v>0.25</v>
      </c>
      <c r="I28" s="284">
        <f t="shared" si="9"/>
        <v>0</v>
      </c>
      <c r="J28" s="284">
        <f t="shared" si="9"/>
        <v>0</v>
      </c>
      <c r="K28" s="284">
        <f t="shared" si="9"/>
        <v>0</v>
      </c>
      <c r="L28" s="284">
        <f t="shared" si="9"/>
        <v>0</v>
      </c>
      <c r="M28" s="284">
        <f t="shared" si="9"/>
        <v>0</v>
      </c>
      <c r="N28" s="284">
        <f t="shared" si="9"/>
        <v>0</v>
      </c>
      <c r="O28" s="284">
        <f t="shared" si="9"/>
        <v>0</v>
      </c>
      <c r="P28" s="284">
        <f t="shared" si="9"/>
        <v>0</v>
      </c>
      <c r="Q28" s="284">
        <f t="shared" si="9"/>
        <v>0.2</v>
      </c>
      <c r="R28" s="284">
        <f t="shared" si="9"/>
        <v>6.3873</v>
      </c>
      <c r="S28" s="284">
        <f t="shared" si="9"/>
        <v>606</v>
      </c>
      <c r="T28" s="284">
        <f t="shared" si="9"/>
        <v>495</v>
      </c>
      <c r="U28" s="284">
        <f t="shared" si="9"/>
        <v>300</v>
      </c>
      <c r="V28" s="284">
        <f t="shared" si="9"/>
        <v>0</v>
      </c>
      <c r="W28" s="284">
        <f t="shared" si="9"/>
        <v>0</v>
      </c>
      <c r="X28" s="284">
        <f t="shared" si="9"/>
        <v>1401</v>
      </c>
      <c r="Y28" s="284">
        <f t="shared" si="9"/>
        <v>79.5</v>
      </c>
      <c r="Z28" s="284">
        <f t="shared" si="9"/>
        <v>0</v>
      </c>
      <c r="AA28" s="284">
        <f t="shared" si="9"/>
        <v>0</v>
      </c>
      <c r="AB28" s="284">
        <f t="shared" si="9"/>
        <v>0</v>
      </c>
      <c r="AC28" s="284">
        <f t="shared" si="9"/>
        <v>0</v>
      </c>
      <c r="AD28" s="284">
        <f t="shared" si="9"/>
        <v>1321.5</v>
      </c>
      <c r="AE28" s="284">
        <f t="shared" si="9"/>
        <v>504</v>
      </c>
      <c r="AF28" s="284">
        <f t="shared" si="9"/>
        <v>302.4</v>
      </c>
      <c r="AG28" s="284">
        <f t="shared" si="9"/>
        <v>201.6</v>
      </c>
      <c r="AH28" s="284">
        <f t="shared" si="9"/>
        <v>1019.1</v>
      </c>
    </row>
    <row r="29" spans="1:35" ht="21" customHeight="1">
      <c r="A29" s="268"/>
      <c r="B29" s="269" t="s">
        <v>470</v>
      </c>
      <c r="C29" s="280">
        <v>11</v>
      </c>
      <c r="D29" s="280">
        <v>9</v>
      </c>
      <c r="E29" s="280">
        <f>(F29+G29+R29)*1.49</f>
        <v>50.015277000000005</v>
      </c>
      <c r="F29" s="280">
        <v>26.73</v>
      </c>
      <c r="G29" s="280">
        <f>SUM(H29:Q29)</f>
        <v>0.45</v>
      </c>
      <c r="H29" s="280">
        <v>0.25</v>
      </c>
      <c r="I29" s="280"/>
      <c r="J29" s="280"/>
      <c r="K29" s="280"/>
      <c r="L29" s="280"/>
      <c r="M29" s="280"/>
      <c r="N29" s="280"/>
      <c r="O29" s="280"/>
      <c r="P29" s="280"/>
      <c r="Q29" s="280">
        <v>0.2</v>
      </c>
      <c r="R29" s="280">
        <f>(F29+G29)*23.5%</f>
        <v>6.3873</v>
      </c>
      <c r="S29" s="280">
        <v>606</v>
      </c>
      <c r="T29" s="280">
        <f>C29*45</f>
        <v>495</v>
      </c>
      <c r="U29" s="280">
        <v>300</v>
      </c>
      <c r="V29" s="280"/>
      <c r="W29" s="280"/>
      <c r="X29" s="280">
        <f>SUM(S29:W29)</f>
        <v>1401</v>
      </c>
      <c r="Y29" s="280">
        <f>(T29+U29)*10%</f>
        <v>79.5</v>
      </c>
      <c r="Z29" s="280">
        <f t="shared" si="6"/>
        <v>0</v>
      </c>
      <c r="AA29" s="280"/>
      <c r="AB29" s="280"/>
      <c r="AC29" s="280"/>
      <c r="AD29" s="281">
        <f>X29-Y29-AA29-AC29</f>
        <v>1321.5</v>
      </c>
      <c r="AE29" s="272">
        <f t="shared" si="7"/>
        <v>504</v>
      </c>
      <c r="AF29" s="762">
        <f>'THU DV'!F32</f>
        <v>302.4</v>
      </c>
      <c r="AG29" s="762">
        <f>'THU DV'!G32</f>
        <v>201.6</v>
      </c>
      <c r="AH29" s="281">
        <f>AD29-AF29</f>
        <v>1019.1</v>
      </c>
      <c r="AI29" s="285" t="s">
        <v>677</v>
      </c>
    </row>
    <row r="30" spans="1:34" s="285" customFormat="1" ht="61.5" customHeight="1">
      <c r="A30" s="776">
        <v>3</v>
      </c>
      <c r="B30" s="263" t="s">
        <v>830</v>
      </c>
      <c r="C30" s="284">
        <f>C31</f>
        <v>4</v>
      </c>
      <c r="D30" s="284">
        <f aca="true" t="shared" si="10" ref="D30:AH30">D31</f>
        <v>4</v>
      </c>
      <c r="E30" s="284">
        <f t="shared" si="10"/>
        <v>46.1453894</v>
      </c>
      <c r="F30" s="284">
        <f t="shared" si="10"/>
        <v>24.34</v>
      </c>
      <c r="G30" s="284">
        <f t="shared" si="10"/>
        <v>0.756</v>
      </c>
      <c r="H30" s="284">
        <f t="shared" si="10"/>
        <v>0.25</v>
      </c>
      <c r="I30" s="284">
        <f t="shared" si="10"/>
        <v>0.1</v>
      </c>
      <c r="J30" s="284">
        <f t="shared" si="10"/>
        <v>0.40599999999999997</v>
      </c>
      <c r="K30" s="284">
        <f t="shared" si="10"/>
        <v>0</v>
      </c>
      <c r="L30" s="284">
        <f t="shared" si="10"/>
        <v>0</v>
      </c>
      <c r="M30" s="284">
        <f t="shared" si="10"/>
        <v>0</v>
      </c>
      <c r="N30" s="284">
        <f t="shared" si="10"/>
        <v>0</v>
      </c>
      <c r="O30" s="284">
        <f t="shared" si="10"/>
        <v>0</v>
      </c>
      <c r="P30" s="284">
        <f t="shared" si="10"/>
        <v>0</v>
      </c>
      <c r="Q30" s="284">
        <f t="shared" si="10"/>
        <v>0</v>
      </c>
      <c r="R30" s="284">
        <f t="shared" si="10"/>
        <v>5.874059999999999</v>
      </c>
      <c r="S30" s="284">
        <f t="shared" si="10"/>
        <v>403</v>
      </c>
      <c r="T30" s="284">
        <f t="shared" si="10"/>
        <v>180</v>
      </c>
      <c r="U30" s="284">
        <f t="shared" si="10"/>
        <v>500</v>
      </c>
      <c r="V30" s="284">
        <f t="shared" si="10"/>
        <v>0</v>
      </c>
      <c r="W30" s="284">
        <f t="shared" si="10"/>
        <v>0</v>
      </c>
      <c r="X30" s="284">
        <f t="shared" si="10"/>
        <v>1083</v>
      </c>
      <c r="Y30" s="284">
        <f t="shared" si="10"/>
        <v>68</v>
      </c>
      <c r="Z30" s="284">
        <f t="shared" si="10"/>
        <v>0</v>
      </c>
      <c r="AA30" s="284">
        <f t="shared" si="10"/>
        <v>0</v>
      </c>
      <c r="AB30" s="284">
        <f t="shared" si="10"/>
        <v>0</v>
      </c>
      <c r="AC30" s="284">
        <f t="shared" si="10"/>
        <v>0</v>
      </c>
      <c r="AD30" s="284">
        <f t="shared" si="10"/>
        <v>1015</v>
      </c>
      <c r="AE30" s="284">
        <f t="shared" si="10"/>
        <v>108</v>
      </c>
      <c r="AF30" s="284">
        <f t="shared" si="10"/>
        <v>64.8</v>
      </c>
      <c r="AG30" s="284">
        <f t="shared" si="10"/>
        <v>43.2</v>
      </c>
      <c r="AH30" s="284">
        <f t="shared" si="10"/>
        <v>950.2</v>
      </c>
    </row>
    <row r="31" spans="1:35" ht="18.75" customHeight="1">
      <c r="A31" s="268"/>
      <c r="B31" s="269" t="s">
        <v>470</v>
      </c>
      <c r="C31" s="280">
        <v>4</v>
      </c>
      <c r="D31" s="280">
        <v>4</v>
      </c>
      <c r="E31" s="280">
        <f>(F31+G31+R31)*1.49</f>
        <v>46.1453894</v>
      </c>
      <c r="F31" s="280">
        <v>24.34</v>
      </c>
      <c r="G31" s="280">
        <f>SUM(H31:Q31)</f>
        <v>0.756</v>
      </c>
      <c r="H31" s="280">
        <v>0.25</v>
      </c>
      <c r="I31" s="280">
        <v>0.1</v>
      </c>
      <c r="J31" s="280">
        <v>0.40599999999999997</v>
      </c>
      <c r="K31" s="280"/>
      <c r="L31" s="280"/>
      <c r="M31" s="280"/>
      <c r="N31" s="280"/>
      <c r="O31" s="280"/>
      <c r="P31" s="280"/>
      <c r="Q31" s="280"/>
      <c r="R31" s="280">
        <f>(F31+H31+J31)*23.5%</f>
        <v>5.874059999999999</v>
      </c>
      <c r="S31" s="280">
        <v>403</v>
      </c>
      <c r="T31" s="280">
        <f>C31*45</f>
        <v>180</v>
      </c>
      <c r="U31" s="280">
        <v>500</v>
      </c>
      <c r="V31" s="280"/>
      <c r="W31" s="280"/>
      <c r="X31" s="280">
        <f>SUM(S31:W31)</f>
        <v>1083</v>
      </c>
      <c r="Y31" s="280">
        <f>(T31+U31)*10%</f>
        <v>68</v>
      </c>
      <c r="Z31" s="280">
        <f t="shared" si="6"/>
        <v>0</v>
      </c>
      <c r="AA31" s="280"/>
      <c r="AB31" s="280"/>
      <c r="AC31" s="280"/>
      <c r="AD31" s="281">
        <f>X31-Y31-AA31-AC31</f>
        <v>1015</v>
      </c>
      <c r="AE31" s="272">
        <f t="shared" si="7"/>
        <v>108</v>
      </c>
      <c r="AF31" s="762">
        <f>'THU DV'!F30</f>
        <v>64.8</v>
      </c>
      <c r="AG31" s="762">
        <f>'THU DV'!G29</f>
        <v>43.2</v>
      </c>
      <c r="AH31" s="281">
        <f>AD31-AF31</f>
        <v>950.2</v>
      </c>
      <c r="AI31" s="285" t="s">
        <v>677</v>
      </c>
    </row>
    <row r="32" spans="1:35" ht="27.75" customHeight="1">
      <c r="A32" s="776" t="s">
        <v>269</v>
      </c>
      <c r="B32" s="263" t="s">
        <v>204</v>
      </c>
      <c r="C32" s="284">
        <f>C33+C38+C44+C46+C48+C50+C52</f>
        <v>18</v>
      </c>
      <c r="D32" s="284">
        <f aca="true" t="shared" si="11" ref="D32:AI32">D33+D38+D44+D46+D48+D50+D52</f>
        <v>17</v>
      </c>
      <c r="E32" s="284">
        <f t="shared" si="11"/>
        <v>203.66290735</v>
      </c>
      <c r="F32" s="284">
        <f t="shared" si="11"/>
        <v>174.90200000000002</v>
      </c>
      <c r="G32" s="284">
        <f t="shared" si="11"/>
        <v>0</v>
      </c>
      <c r="H32" s="284">
        <f t="shared" si="11"/>
        <v>1.15</v>
      </c>
      <c r="I32" s="284">
        <f t="shared" si="11"/>
        <v>0</v>
      </c>
      <c r="J32" s="284">
        <f t="shared" si="11"/>
        <v>0.249</v>
      </c>
      <c r="K32" s="284">
        <f t="shared" si="11"/>
        <v>0</v>
      </c>
      <c r="L32" s="284">
        <f t="shared" si="11"/>
        <v>0</v>
      </c>
      <c r="M32" s="284">
        <f t="shared" si="11"/>
        <v>0</v>
      </c>
      <c r="N32" s="284">
        <f t="shared" si="11"/>
        <v>0</v>
      </c>
      <c r="O32" s="284">
        <f t="shared" si="11"/>
        <v>0</v>
      </c>
      <c r="P32" s="284">
        <f t="shared" si="11"/>
        <v>0</v>
      </c>
      <c r="Q32" s="284">
        <f t="shared" si="11"/>
        <v>0.893</v>
      </c>
      <c r="R32" s="284">
        <f t="shared" si="11"/>
        <v>41.430735</v>
      </c>
      <c r="S32" s="284">
        <f t="shared" si="11"/>
        <v>926</v>
      </c>
      <c r="T32" s="284">
        <f t="shared" si="11"/>
        <v>450</v>
      </c>
      <c r="U32" s="284">
        <f t="shared" si="11"/>
        <v>47635</v>
      </c>
      <c r="V32" s="284">
        <f t="shared" si="11"/>
        <v>0</v>
      </c>
      <c r="W32" s="284">
        <f t="shared" si="11"/>
        <v>0</v>
      </c>
      <c r="X32" s="284">
        <f t="shared" si="11"/>
        <v>49111</v>
      </c>
      <c r="Y32" s="284">
        <f t="shared" si="11"/>
        <v>2734.3</v>
      </c>
      <c r="Z32" s="284">
        <f t="shared" si="11"/>
        <v>0</v>
      </c>
      <c r="AA32" s="284">
        <f t="shared" si="11"/>
        <v>0</v>
      </c>
      <c r="AB32" s="284">
        <f t="shared" si="11"/>
        <v>0</v>
      </c>
      <c r="AC32" s="284">
        <f t="shared" si="11"/>
        <v>0</v>
      </c>
      <c r="AD32" s="284">
        <f t="shared" si="11"/>
        <v>46376.7</v>
      </c>
      <c r="AE32" s="284">
        <f t="shared" si="11"/>
        <v>0</v>
      </c>
      <c r="AF32" s="284">
        <f t="shared" si="11"/>
        <v>0</v>
      </c>
      <c r="AG32" s="284">
        <f t="shared" si="11"/>
        <v>0</v>
      </c>
      <c r="AH32" s="284">
        <f t="shared" si="11"/>
        <v>46376.7</v>
      </c>
      <c r="AI32" s="284">
        <f t="shared" si="11"/>
        <v>0</v>
      </c>
    </row>
    <row r="33" spans="1:34" ht="24" customHeight="1">
      <c r="A33" s="776">
        <v>1</v>
      </c>
      <c r="B33" s="263" t="s">
        <v>471</v>
      </c>
      <c r="C33" s="284">
        <f>SUM(C34:C35)</f>
        <v>5</v>
      </c>
      <c r="D33" s="284">
        <f aca="true" t="shared" si="12" ref="D33:AH33">SUM(D34:D35)</f>
        <v>4</v>
      </c>
      <c r="E33" s="284">
        <f t="shared" si="12"/>
        <v>0</v>
      </c>
      <c r="F33" s="284">
        <f t="shared" si="12"/>
        <v>0</v>
      </c>
      <c r="G33" s="284">
        <f t="shared" si="12"/>
        <v>0</v>
      </c>
      <c r="H33" s="284">
        <f t="shared" si="12"/>
        <v>0</v>
      </c>
      <c r="I33" s="284">
        <f t="shared" si="12"/>
        <v>0</v>
      </c>
      <c r="J33" s="284">
        <f t="shared" si="12"/>
        <v>0</v>
      </c>
      <c r="K33" s="284">
        <f t="shared" si="12"/>
        <v>0</v>
      </c>
      <c r="L33" s="284">
        <f t="shared" si="12"/>
        <v>0</v>
      </c>
      <c r="M33" s="284">
        <f t="shared" si="12"/>
        <v>0</v>
      </c>
      <c r="N33" s="284">
        <f t="shared" si="12"/>
        <v>0</v>
      </c>
      <c r="O33" s="284">
        <f t="shared" si="12"/>
        <v>0</v>
      </c>
      <c r="P33" s="284">
        <f t="shared" si="12"/>
        <v>0</v>
      </c>
      <c r="Q33" s="284">
        <f t="shared" si="12"/>
        <v>0</v>
      </c>
      <c r="R33" s="284">
        <f t="shared" si="12"/>
        <v>0</v>
      </c>
      <c r="S33" s="284">
        <f t="shared" si="12"/>
        <v>382</v>
      </c>
      <c r="T33" s="284">
        <f t="shared" si="12"/>
        <v>225</v>
      </c>
      <c r="U33" s="284">
        <f t="shared" si="12"/>
        <v>4160</v>
      </c>
      <c r="V33" s="284">
        <f t="shared" si="12"/>
        <v>0</v>
      </c>
      <c r="W33" s="284">
        <f t="shared" si="12"/>
        <v>0</v>
      </c>
      <c r="X33" s="284">
        <f t="shared" si="12"/>
        <v>4767</v>
      </c>
      <c r="Y33" s="284">
        <f t="shared" si="12"/>
        <v>439</v>
      </c>
      <c r="Z33" s="284">
        <f t="shared" si="12"/>
        <v>0</v>
      </c>
      <c r="AA33" s="284">
        <f t="shared" si="12"/>
        <v>0</v>
      </c>
      <c r="AB33" s="284">
        <f t="shared" si="12"/>
        <v>0</v>
      </c>
      <c r="AC33" s="284"/>
      <c r="AD33" s="284">
        <f t="shared" si="12"/>
        <v>4328</v>
      </c>
      <c r="AE33" s="284">
        <f t="shared" si="12"/>
        <v>0</v>
      </c>
      <c r="AF33" s="284">
        <f t="shared" si="12"/>
        <v>0</v>
      </c>
      <c r="AG33" s="284">
        <f t="shared" si="12"/>
        <v>0</v>
      </c>
      <c r="AH33" s="284">
        <f t="shared" si="12"/>
        <v>4328</v>
      </c>
    </row>
    <row r="34" spans="1:34" s="285" customFormat="1" ht="28.5" customHeight="1">
      <c r="A34" s="776" t="s">
        <v>282</v>
      </c>
      <c r="B34" s="263" t="s">
        <v>356</v>
      </c>
      <c r="C34" s="284"/>
      <c r="D34" s="284"/>
      <c r="E34" s="284">
        <f>(F34+G34+R34)*1.49</f>
        <v>0</v>
      </c>
      <c r="F34" s="284"/>
      <c r="G34" s="284"/>
      <c r="H34" s="284"/>
      <c r="I34" s="284"/>
      <c r="J34" s="284"/>
      <c r="K34" s="284"/>
      <c r="L34" s="284"/>
      <c r="M34" s="284"/>
      <c r="N34" s="284"/>
      <c r="O34" s="284"/>
      <c r="P34" s="284"/>
      <c r="Q34" s="284"/>
      <c r="R34" s="284"/>
      <c r="S34" s="284">
        <f aca="true" t="shared" si="13" ref="S34:S65">E34*12</f>
        <v>0</v>
      </c>
      <c r="T34" s="284"/>
      <c r="U34" s="284">
        <v>3500</v>
      </c>
      <c r="V34" s="284"/>
      <c r="W34" s="284"/>
      <c r="X34" s="284">
        <f>SUM(S34:W34)</f>
        <v>3500</v>
      </c>
      <c r="Y34" s="284">
        <f>U34*10%</f>
        <v>350</v>
      </c>
      <c r="Z34" s="284"/>
      <c r="AA34" s="284"/>
      <c r="AB34" s="284"/>
      <c r="AC34" s="284"/>
      <c r="AD34" s="536">
        <f>X34-Y34-AA34-AC34</f>
        <v>3150</v>
      </c>
      <c r="AE34" s="352"/>
      <c r="AF34" s="352"/>
      <c r="AG34" s="352"/>
      <c r="AH34" s="536">
        <f>AD34-AF34</f>
        <v>3150</v>
      </c>
    </row>
    <row r="35" spans="1:34" s="285" customFormat="1" ht="20.25" customHeight="1">
      <c r="A35" s="776" t="s">
        <v>283</v>
      </c>
      <c r="B35" s="263" t="s">
        <v>590</v>
      </c>
      <c r="C35" s="284">
        <f>SUM(C36:C37)</f>
        <v>5</v>
      </c>
      <c r="D35" s="284">
        <f aca="true" t="shared" si="14" ref="D35:AH35">SUM(D36:D37)</f>
        <v>4</v>
      </c>
      <c r="E35" s="284">
        <f t="shared" si="14"/>
        <v>0</v>
      </c>
      <c r="F35" s="284">
        <f t="shared" si="14"/>
        <v>0</v>
      </c>
      <c r="G35" s="284">
        <f t="shared" si="14"/>
        <v>0</v>
      </c>
      <c r="H35" s="284">
        <f t="shared" si="14"/>
        <v>0</v>
      </c>
      <c r="I35" s="284">
        <f t="shared" si="14"/>
        <v>0</v>
      </c>
      <c r="J35" s="284">
        <f t="shared" si="14"/>
        <v>0</v>
      </c>
      <c r="K35" s="284">
        <f t="shared" si="14"/>
        <v>0</v>
      </c>
      <c r="L35" s="284">
        <f t="shared" si="14"/>
        <v>0</v>
      </c>
      <c r="M35" s="284">
        <f t="shared" si="14"/>
        <v>0</v>
      </c>
      <c r="N35" s="284">
        <f t="shared" si="14"/>
        <v>0</v>
      </c>
      <c r="O35" s="284">
        <f t="shared" si="14"/>
        <v>0</v>
      </c>
      <c r="P35" s="284">
        <f t="shared" si="14"/>
        <v>0</v>
      </c>
      <c r="Q35" s="284">
        <f t="shared" si="14"/>
        <v>0</v>
      </c>
      <c r="R35" s="284">
        <f t="shared" si="14"/>
        <v>0</v>
      </c>
      <c r="S35" s="284">
        <f t="shared" si="14"/>
        <v>382</v>
      </c>
      <c r="T35" s="284">
        <f t="shared" si="14"/>
        <v>225</v>
      </c>
      <c r="U35" s="284">
        <f t="shared" si="14"/>
        <v>660</v>
      </c>
      <c r="V35" s="284">
        <f t="shared" si="14"/>
        <v>0</v>
      </c>
      <c r="W35" s="284">
        <f t="shared" si="14"/>
        <v>0</v>
      </c>
      <c r="X35" s="284">
        <f t="shared" si="14"/>
        <v>1267</v>
      </c>
      <c r="Y35" s="284">
        <f t="shared" si="14"/>
        <v>89</v>
      </c>
      <c r="Z35" s="284">
        <f t="shared" si="14"/>
        <v>0</v>
      </c>
      <c r="AA35" s="284">
        <f t="shared" si="14"/>
        <v>0</v>
      </c>
      <c r="AB35" s="284">
        <f t="shared" si="14"/>
        <v>0</v>
      </c>
      <c r="AC35" s="284">
        <f t="shared" si="14"/>
        <v>0</v>
      </c>
      <c r="AD35" s="284">
        <f t="shared" si="14"/>
        <v>1178</v>
      </c>
      <c r="AE35" s="284">
        <f t="shared" si="14"/>
        <v>0</v>
      </c>
      <c r="AF35" s="284">
        <f t="shared" si="14"/>
        <v>0</v>
      </c>
      <c r="AG35" s="284">
        <f t="shared" si="14"/>
        <v>0</v>
      </c>
      <c r="AH35" s="284">
        <f t="shared" si="14"/>
        <v>1178</v>
      </c>
    </row>
    <row r="36" spans="1:35" ht="20.25" customHeight="1">
      <c r="A36" s="776"/>
      <c r="B36" s="269" t="s">
        <v>562</v>
      </c>
      <c r="C36" s="280">
        <v>5</v>
      </c>
      <c r="D36" s="280">
        <v>4</v>
      </c>
      <c r="E36" s="280"/>
      <c r="F36" s="280"/>
      <c r="G36" s="280"/>
      <c r="H36" s="280"/>
      <c r="I36" s="280"/>
      <c r="J36" s="280"/>
      <c r="K36" s="280"/>
      <c r="L36" s="280"/>
      <c r="M36" s="280"/>
      <c r="N36" s="280"/>
      <c r="O36" s="280"/>
      <c r="P36" s="280"/>
      <c r="Q36" s="280"/>
      <c r="R36" s="280"/>
      <c r="S36" s="280">
        <v>328</v>
      </c>
      <c r="T36" s="280">
        <f>C36*45</f>
        <v>225</v>
      </c>
      <c r="U36" s="280"/>
      <c r="V36" s="280"/>
      <c r="W36" s="280"/>
      <c r="X36" s="280">
        <f>SUM(S36:W36)</f>
        <v>553</v>
      </c>
      <c r="Y36" s="280">
        <v>23</v>
      </c>
      <c r="Z36" s="280"/>
      <c r="AA36" s="280"/>
      <c r="AB36" s="280"/>
      <c r="AC36" s="280"/>
      <c r="AD36" s="281">
        <f aca="true" t="shared" si="15" ref="AD36:AD70">X36-Y36-AA36-AC36</f>
        <v>530</v>
      </c>
      <c r="AE36" s="272"/>
      <c r="AF36" s="272"/>
      <c r="AG36" s="272"/>
      <c r="AH36" s="281">
        <f aca="true" t="shared" si="16" ref="AH36:AH70">AD36-AF36</f>
        <v>530</v>
      </c>
      <c r="AI36" s="285" t="s">
        <v>677</v>
      </c>
    </row>
    <row r="37" spans="1:34" s="727" customFormat="1" ht="42.75" customHeight="1">
      <c r="A37" s="776"/>
      <c r="B37" s="269" t="s">
        <v>675</v>
      </c>
      <c r="C37" s="280"/>
      <c r="D37" s="280"/>
      <c r="E37" s="280"/>
      <c r="F37" s="280"/>
      <c r="G37" s="280"/>
      <c r="H37" s="280"/>
      <c r="I37" s="280"/>
      <c r="J37" s="280"/>
      <c r="K37" s="280"/>
      <c r="L37" s="280"/>
      <c r="M37" s="280"/>
      <c r="N37" s="280"/>
      <c r="O37" s="280"/>
      <c r="P37" s="280"/>
      <c r="Q37" s="280"/>
      <c r="R37" s="280"/>
      <c r="S37" s="280">
        <v>54</v>
      </c>
      <c r="T37" s="280"/>
      <c r="U37" s="280">
        <v>660</v>
      </c>
      <c r="V37" s="280"/>
      <c r="W37" s="280"/>
      <c r="X37" s="280">
        <f>SUM(S37:W37)</f>
        <v>714</v>
      </c>
      <c r="Y37" s="280">
        <f>U37*10%</f>
        <v>66</v>
      </c>
      <c r="Z37" s="280"/>
      <c r="AA37" s="280"/>
      <c r="AB37" s="280"/>
      <c r="AC37" s="280"/>
      <c r="AD37" s="281">
        <f t="shared" si="15"/>
        <v>648</v>
      </c>
      <c r="AE37" s="272"/>
      <c r="AF37" s="272"/>
      <c r="AG37" s="272"/>
      <c r="AH37" s="281">
        <f t="shared" si="16"/>
        <v>648</v>
      </c>
    </row>
    <row r="38" spans="1:34" ht="31.5" customHeight="1">
      <c r="A38" s="776">
        <v>2</v>
      </c>
      <c r="B38" s="283" t="s">
        <v>379</v>
      </c>
      <c r="C38" s="284">
        <f>C39+C42</f>
        <v>13</v>
      </c>
      <c r="D38" s="284">
        <f aca="true" t="shared" si="17" ref="D38:AG38">D39+D42</f>
        <v>13</v>
      </c>
      <c r="E38" s="284">
        <f t="shared" si="17"/>
        <v>203.66290735</v>
      </c>
      <c r="F38" s="284">
        <f t="shared" si="17"/>
        <v>174.90200000000002</v>
      </c>
      <c r="G38" s="284">
        <f t="shared" si="17"/>
        <v>0</v>
      </c>
      <c r="H38" s="284">
        <f t="shared" si="17"/>
        <v>1.15</v>
      </c>
      <c r="I38" s="284">
        <f t="shared" si="17"/>
        <v>0</v>
      </c>
      <c r="J38" s="284">
        <f t="shared" si="17"/>
        <v>0.249</v>
      </c>
      <c r="K38" s="284">
        <f t="shared" si="17"/>
        <v>0</v>
      </c>
      <c r="L38" s="284">
        <f t="shared" si="17"/>
        <v>0</v>
      </c>
      <c r="M38" s="284">
        <f t="shared" si="17"/>
        <v>0</v>
      </c>
      <c r="N38" s="284">
        <f t="shared" si="17"/>
        <v>0</v>
      </c>
      <c r="O38" s="284">
        <f t="shared" si="17"/>
        <v>0</v>
      </c>
      <c r="P38" s="284">
        <f t="shared" si="17"/>
        <v>0</v>
      </c>
      <c r="Q38" s="284">
        <f t="shared" si="17"/>
        <v>0.893</v>
      </c>
      <c r="R38" s="284">
        <f t="shared" si="17"/>
        <v>41.430735</v>
      </c>
      <c r="S38" s="284">
        <f t="shared" si="17"/>
        <v>544</v>
      </c>
      <c r="T38" s="284">
        <f t="shared" si="17"/>
        <v>225</v>
      </c>
      <c r="U38" s="284">
        <f t="shared" si="17"/>
        <v>792</v>
      </c>
      <c r="V38" s="284">
        <f t="shared" si="17"/>
        <v>0</v>
      </c>
      <c r="W38" s="284">
        <f t="shared" si="17"/>
        <v>0</v>
      </c>
      <c r="X38" s="284">
        <f t="shared" si="17"/>
        <v>1561</v>
      </c>
      <c r="Y38" s="284">
        <f t="shared" si="17"/>
        <v>23</v>
      </c>
      <c r="Z38" s="284">
        <f t="shared" si="17"/>
        <v>0</v>
      </c>
      <c r="AA38" s="284">
        <f t="shared" si="17"/>
        <v>0</v>
      </c>
      <c r="AB38" s="284">
        <f t="shared" si="17"/>
        <v>0</v>
      </c>
      <c r="AC38" s="284"/>
      <c r="AD38" s="536">
        <f t="shared" si="15"/>
        <v>1538</v>
      </c>
      <c r="AE38" s="284">
        <f t="shared" si="17"/>
        <v>0</v>
      </c>
      <c r="AF38" s="284">
        <f t="shared" si="17"/>
        <v>0</v>
      </c>
      <c r="AG38" s="284">
        <f t="shared" si="17"/>
        <v>0</v>
      </c>
      <c r="AH38" s="536">
        <f t="shared" si="16"/>
        <v>1538</v>
      </c>
    </row>
    <row r="39" spans="1:34" s="285" customFormat="1" ht="32.25" customHeight="1">
      <c r="A39" s="776" t="s">
        <v>282</v>
      </c>
      <c r="B39" s="263" t="s">
        <v>676</v>
      </c>
      <c r="C39" s="284">
        <f>C40+C41</f>
        <v>13</v>
      </c>
      <c r="D39" s="284">
        <f aca="true" t="shared" si="18" ref="D39:AH39">D40+D41</f>
        <v>13</v>
      </c>
      <c r="E39" s="284">
        <f t="shared" si="18"/>
        <v>203.66290735</v>
      </c>
      <c r="F39" s="284">
        <f t="shared" si="18"/>
        <v>174.90200000000002</v>
      </c>
      <c r="G39" s="284">
        <f t="shared" si="18"/>
        <v>0</v>
      </c>
      <c r="H39" s="284">
        <f t="shared" si="18"/>
        <v>1.15</v>
      </c>
      <c r="I39" s="284">
        <f t="shared" si="18"/>
        <v>0</v>
      </c>
      <c r="J39" s="284">
        <f t="shared" si="18"/>
        <v>0.249</v>
      </c>
      <c r="K39" s="284">
        <f t="shared" si="18"/>
        <v>0</v>
      </c>
      <c r="L39" s="284">
        <f t="shared" si="18"/>
        <v>0</v>
      </c>
      <c r="M39" s="284">
        <f t="shared" si="18"/>
        <v>0</v>
      </c>
      <c r="N39" s="284">
        <f t="shared" si="18"/>
        <v>0</v>
      </c>
      <c r="O39" s="284">
        <f t="shared" si="18"/>
        <v>0</v>
      </c>
      <c r="P39" s="284">
        <f t="shared" si="18"/>
        <v>0</v>
      </c>
      <c r="Q39" s="284">
        <f t="shared" si="18"/>
        <v>0.893</v>
      </c>
      <c r="R39" s="284">
        <f t="shared" si="18"/>
        <v>41.430735</v>
      </c>
      <c r="S39" s="284">
        <f t="shared" si="18"/>
        <v>544</v>
      </c>
      <c r="T39" s="284">
        <f t="shared" si="18"/>
        <v>225</v>
      </c>
      <c r="U39" s="284">
        <f t="shared" si="18"/>
        <v>0</v>
      </c>
      <c r="V39" s="284">
        <f t="shared" si="18"/>
        <v>0</v>
      </c>
      <c r="W39" s="284">
        <f t="shared" si="18"/>
        <v>0</v>
      </c>
      <c r="X39" s="284">
        <f t="shared" si="18"/>
        <v>769</v>
      </c>
      <c r="Y39" s="284">
        <f t="shared" si="18"/>
        <v>23</v>
      </c>
      <c r="Z39" s="284">
        <f t="shared" si="18"/>
        <v>0</v>
      </c>
      <c r="AA39" s="284">
        <f t="shared" si="18"/>
        <v>0</v>
      </c>
      <c r="AB39" s="284">
        <f t="shared" si="18"/>
        <v>0</v>
      </c>
      <c r="AC39" s="284">
        <f t="shared" si="18"/>
        <v>0</v>
      </c>
      <c r="AD39" s="284">
        <f t="shared" si="18"/>
        <v>746</v>
      </c>
      <c r="AE39" s="284">
        <f t="shared" si="18"/>
        <v>0</v>
      </c>
      <c r="AF39" s="284">
        <f t="shared" si="18"/>
        <v>0</v>
      </c>
      <c r="AG39" s="284">
        <f t="shared" si="18"/>
        <v>0</v>
      </c>
      <c r="AH39" s="284">
        <f t="shared" si="18"/>
        <v>746</v>
      </c>
    </row>
    <row r="40" spans="1:34" ht="21.75" customHeight="1">
      <c r="A40" s="268"/>
      <c r="B40" s="286" t="s">
        <v>807</v>
      </c>
      <c r="C40" s="280">
        <v>5</v>
      </c>
      <c r="D40" s="280">
        <v>5</v>
      </c>
      <c r="E40" s="280">
        <f>(F40+G40+R40)*1.49</f>
        <v>62.410907349999995</v>
      </c>
      <c r="F40" s="280">
        <v>33.65</v>
      </c>
      <c r="G40" s="280"/>
      <c r="H40" s="280">
        <v>1.15</v>
      </c>
      <c r="I40" s="280"/>
      <c r="J40" s="280">
        <v>0.249</v>
      </c>
      <c r="K40" s="280"/>
      <c r="L40" s="280"/>
      <c r="M40" s="280"/>
      <c r="N40" s="280"/>
      <c r="O40" s="280"/>
      <c r="P40" s="280"/>
      <c r="Q40" s="280">
        <f>0.2+0.33+0.363</f>
        <v>0.893</v>
      </c>
      <c r="R40" s="280">
        <f>(F40+H40+J40)*23.5%</f>
        <v>8.236514999999999</v>
      </c>
      <c r="S40" s="280">
        <v>393</v>
      </c>
      <c r="T40" s="280">
        <f>C40*45</f>
        <v>225</v>
      </c>
      <c r="U40" s="280"/>
      <c r="V40" s="280"/>
      <c r="W40" s="280"/>
      <c r="X40" s="280">
        <f>SUM(S40:W40)</f>
        <v>618</v>
      </c>
      <c r="Y40" s="280">
        <v>23</v>
      </c>
      <c r="Z40" s="280"/>
      <c r="AA40" s="280"/>
      <c r="AB40" s="280"/>
      <c r="AC40" s="280"/>
      <c r="AD40" s="281">
        <f t="shared" si="15"/>
        <v>595</v>
      </c>
      <c r="AE40" s="272"/>
      <c r="AF40" s="272"/>
      <c r="AG40" s="272"/>
      <c r="AH40" s="281">
        <f t="shared" si="16"/>
        <v>595</v>
      </c>
    </row>
    <row r="41" spans="1:34" ht="19.5" customHeight="1">
      <c r="A41" s="268"/>
      <c r="B41" s="286" t="s">
        <v>472</v>
      </c>
      <c r="C41" s="280">
        <v>8</v>
      </c>
      <c r="D41" s="280">
        <v>8</v>
      </c>
      <c r="E41" s="280">
        <f>F41</f>
        <v>141.252</v>
      </c>
      <c r="F41" s="280">
        <v>141.252</v>
      </c>
      <c r="G41" s="280"/>
      <c r="H41" s="280"/>
      <c r="I41" s="280"/>
      <c r="J41" s="280"/>
      <c r="K41" s="280"/>
      <c r="L41" s="280"/>
      <c r="M41" s="280"/>
      <c r="N41" s="280"/>
      <c r="O41" s="280"/>
      <c r="P41" s="280"/>
      <c r="Q41" s="280"/>
      <c r="R41" s="280">
        <f>(F41+H41+J41)*23.5%</f>
        <v>33.19422</v>
      </c>
      <c r="S41" s="280">
        <v>151</v>
      </c>
      <c r="T41" s="280"/>
      <c r="U41" s="280"/>
      <c r="V41" s="280"/>
      <c r="W41" s="280"/>
      <c r="X41" s="280">
        <f>SUM(S41:W41)</f>
        <v>151</v>
      </c>
      <c r="Y41" s="280">
        <f>T41*10%</f>
        <v>0</v>
      </c>
      <c r="Z41" s="280"/>
      <c r="AA41" s="280"/>
      <c r="AB41" s="280"/>
      <c r="AC41" s="280"/>
      <c r="AD41" s="281">
        <f t="shared" si="15"/>
        <v>151</v>
      </c>
      <c r="AE41" s="272"/>
      <c r="AF41" s="272"/>
      <c r="AG41" s="272"/>
      <c r="AH41" s="281">
        <f t="shared" si="16"/>
        <v>151</v>
      </c>
    </row>
    <row r="42" spans="1:34" ht="20.25" customHeight="1">
      <c r="A42" s="776" t="s">
        <v>283</v>
      </c>
      <c r="B42" s="263" t="s">
        <v>678</v>
      </c>
      <c r="C42" s="280"/>
      <c r="D42" s="280"/>
      <c r="E42" s="280"/>
      <c r="F42" s="280"/>
      <c r="G42" s="280"/>
      <c r="H42" s="280"/>
      <c r="I42" s="280"/>
      <c r="J42" s="280"/>
      <c r="K42" s="280"/>
      <c r="L42" s="280"/>
      <c r="M42" s="280"/>
      <c r="N42" s="280"/>
      <c r="O42" s="280"/>
      <c r="P42" s="280"/>
      <c r="Q42" s="280"/>
      <c r="R42" s="280"/>
      <c r="S42" s="284">
        <f aca="true" t="shared" si="19" ref="S42:AH42">S43</f>
        <v>0</v>
      </c>
      <c r="T42" s="284">
        <f t="shared" si="19"/>
        <v>0</v>
      </c>
      <c r="U42" s="284">
        <f t="shared" si="19"/>
        <v>792</v>
      </c>
      <c r="V42" s="284">
        <f t="shared" si="19"/>
        <v>0</v>
      </c>
      <c r="W42" s="284">
        <f t="shared" si="19"/>
        <v>0</v>
      </c>
      <c r="X42" s="284">
        <f t="shared" si="19"/>
        <v>792</v>
      </c>
      <c r="Y42" s="284">
        <f t="shared" si="19"/>
        <v>0</v>
      </c>
      <c r="Z42" s="284">
        <f t="shared" si="19"/>
        <v>0</v>
      </c>
      <c r="AA42" s="284">
        <f t="shared" si="19"/>
        <v>0</v>
      </c>
      <c r="AB42" s="284">
        <f t="shared" si="19"/>
        <v>0</v>
      </c>
      <c r="AC42" s="284">
        <f t="shared" si="19"/>
        <v>0</v>
      </c>
      <c r="AD42" s="284">
        <f t="shared" si="19"/>
        <v>792</v>
      </c>
      <c r="AE42" s="284">
        <f t="shared" si="19"/>
        <v>0</v>
      </c>
      <c r="AF42" s="284">
        <f t="shared" si="19"/>
        <v>0</v>
      </c>
      <c r="AG42" s="284">
        <f t="shared" si="19"/>
        <v>0</v>
      </c>
      <c r="AH42" s="284">
        <f t="shared" si="19"/>
        <v>792</v>
      </c>
    </row>
    <row r="43" spans="1:34" s="727" customFormat="1" ht="123" customHeight="1">
      <c r="A43" s="268"/>
      <c r="B43" s="882" t="s">
        <v>808</v>
      </c>
      <c r="C43" s="280"/>
      <c r="D43" s="280"/>
      <c r="E43" s="280"/>
      <c r="F43" s="280"/>
      <c r="G43" s="280"/>
      <c r="H43" s="280"/>
      <c r="I43" s="280"/>
      <c r="J43" s="280"/>
      <c r="K43" s="280"/>
      <c r="L43" s="280"/>
      <c r="M43" s="280"/>
      <c r="N43" s="280"/>
      <c r="O43" s="280"/>
      <c r="P43" s="280"/>
      <c r="Q43" s="280"/>
      <c r="R43" s="280"/>
      <c r="S43" s="280">
        <f t="shared" si="13"/>
        <v>0</v>
      </c>
      <c r="T43" s="280"/>
      <c r="U43" s="280">
        <v>792</v>
      </c>
      <c r="V43" s="280"/>
      <c r="W43" s="280"/>
      <c r="X43" s="280">
        <f>SUM(S43:W43)</f>
        <v>792</v>
      </c>
      <c r="Y43" s="280"/>
      <c r="Z43" s="280"/>
      <c r="AA43" s="280"/>
      <c r="AB43" s="280"/>
      <c r="AC43" s="280"/>
      <c r="AD43" s="281">
        <f t="shared" si="15"/>
        <v>792</v>
      </c>
      <c r="AE43" s="272"/>
      <c r="AF43" s="272"/>
      <c r="AG43" s="272"/>
      <c r="AH43" s="536">
        <f t="shared" si="16"/>
        <v>792</v>
      </c>
    </row>
    <row r="44" spans="1:34" ht="26.25" customHeight="1">
      <c r="A44" s="776">
        <v>3</v>
      </c>
      <c r="B44" s="283" t="s">
        <v>473</v>
      </c>
      <c r="C44" s="280"/>
      <c r="D44" s="280"/>
      <c r="E44" s="280"/>
      <c r="F44" s="280"/>
      <c r="G44" s="280"/>
      <c r="H44" s="280"/>
      <c r="I44" s="280"/>
      <c r="J44" s="280"/>
      <c r="K44" s="280"/>
      <c r="L44" s="280"/>
      <c r="M44" s="280"/>
      <c r="N44" s="280"/>
      <c r="O44" s="280"/>
      <c r="P44" s="280"/>
      <c r="Q44" s="280"/>
      <c r="R44" s="280"/>
      <c r="S44" s="284">
        <f>S45</f>
        <v>0</v>
      </c>
      <c r="T44" s="284">
        <f aca="true" t="shared" si="20" ref="T44:AH44">T45</f>
        <v>0</v>
      </c>
      <c r="U44" s="284">
        <f t="shared" si="20"/>
        <v>450</v>
      </c>
      <c r="V44" s="284">
        <f t="shared" si="20"/>
        <v>0</v>
      </c>
      <c r="W44" s="284">
        <f t="shared" si="20"/>
        <v>0</v>
      </c>
      <c r="X44" s="284">
        <f t="shared" si="20"/>
        <v>450</v>
      </c>
      <c r="Y44" s="284">
        <f t="shared" si="20"/>
        <v>50</v>
      </c>
      <c r="Z44" s="284">
        <f t="shared" si="20"/>
        <v>0</v>
      </c>
      <c r="AA44" s="284">
        <f t="shared" si="20"/>
        <v>0</v>
      </c>
      <c r="AB44" s="284">
        <f t="shared" si="20"/>
        <v>0</v>
      </c>
      <c r="AC44" s="284">
        <f t="shared" si="20"/>
        <v>0</v>
      </c>
      <c r="AD44" s="284">
        <f t="shared" si="20"/>
        <v>400</v>
      </c>
      <c r="AE44" s="284">
        <f t="shared" si="20"/>
        <v>0</v>
      </c>
      <c r="AF44" s="284">
        <f t="shared" si="20"/>
        <v>0</v>
      </c>
      <c r="AG44" s="284">
        <f t="shared" si="20"/>
        <v>0</v>
      </c>
      <c r="AH44" s="284">
        <f t="shared" si="20"/>
        <v>400</v>
      </c>
    </row>
    <row r="45" spans="1:34" ht="19.5" customHeight="1">
      <c r="A45" s="776"/>
      <c r="B45" s="269" t="s">
        <v>591</v>
      </c>
      <c r="C45" s="280"/>
      <c r="D45" s="280"/>
      <c r="E45" s="280"/>
      <c r="F45" s="280"/>
      <c r="G45" s="280"/>
      <c r="H45" s="280"/>
      <c r="I45" s="280"/>
      <c r="J45" s="280"/>
      <c r="K45" s="280"/>
      <c r="L45" s="280"/>
      <c r="M45" s="280"/>
      <c r="N45" s="280"/>
      <c r="O45" s="280"/>
      <c r="P45" s="280"/>
      <c r="Q45" s="280"/>
      <c r="R45" s="280"/>
      <c r="S45" s="280">
        <f t="shared" si="13"/>
        <v>0</v>
      </c>
      <c r="T45" s="280"/>
      <c r="U45" s="280">
        <v>450</v>
      </c>
      <c r="V45" s="280"/>
      <c r="W45" s="280"/>
      <c r="X45" s="280">
        <f>SUM(S45:W45)</f>
        <v>450</v>
      </c>
      <c r="Y45" s="280">
        <v>50</v>
      </c>
      <c r="Z45" s="280"/>
      <c r="AA45" s="280"/>
      <c r="AB45" s="280"/>
      <c r="AC45" s="280"/>
      <c r="AD45" s="281">
        <f t="shared" si="15"/>
        <v>400</v>
      </c>
      <c r="AE45" s="272"/>
      <c r="AF45" s="272"/>
      <c r="AG45" s="272"/>
      <c r="AH45" s="281">
        <f t="shared" si="16"/>
        <v>400</v>
      </c>
    </row>
    <row r="46" spans="1:34" ht="25.5" customHeight="1">
      <c r="A46" s="776">
        <v>4</v>
      </c>
      <c r="B46" s="263" t="s">
        <v>474</v>
      </c>
      <c r="C46" s="280"/>
      <c r="D46" s="280"/>
      <c r="E46" s="280"/>
      <c r="F46" s="280"/>
      <c r="G46" s="280"/>
      <c r="H46" s="280"/>
      <c r="I46" s="280"/>
      <c r="J46" s="280"/>
      <c r="K46" s="280"/>
      <c r="L46" s="280"/>
      <c r="M46" s="280"/>
      <c r="N46" s="280"/>
      <c r="O46" s="280"/>
      <c r="P46" s="280"/>
      <c r="Q46" s="280"/>
      <c r="R46" s="280"/>
      <c r="S46" s="280">
        <f t="shared" si="13"/>
        <v>0</v>
      </c>
      <c r="T46" s="284"/>
      <c r="U46" s="284">
        <f>U47</f>
        <v>40000</v>
      </c>
      <c r="V46" s="284">
        <f aca="true" t="shared" si="21" ref="V46:AH46">V47</f>
        <v>0</v>
      </c>
      <c r="W46" s="284">
        <f t="shared" si="21"/>
        <v>0</v>
      </c>
      <c r="X46" s="284">
        <f t="shared" si="21"/>
        <v>40000</v>
      </c>
      <c r="Y46" s="284">
        <f t="shared" si="21"/>
        <v>2000</v>
      </c>
      <c r="Z46" s="284">
        <f t="shared" si="21"/>
        <v>0</v>
      </c>
      <c r="AA46" s="284">
        <f t="shared" si="21"/>
        <v>0</v>
      </c>
      <c r="AB46" s="284">
        <f t="shared" si="21"/>
        <v>0</v>
      </c>
      <c r="AC46" s="284">
        <f t="shared" si="21"/>
        <v>0</v>
      </c>
      <c r="AD46" s="284">
        <f t="shared" si="21"/>
        <v>38000</v>
      </c>
      <c r="AE46" s="284">
        <f t="shared" si="21"/>
        <v>0</v>
      </c>
      <c r="AF46" s="284">
        <f t="shared" si="21"/>
        <v>0</v>
      </c>
      <c r="AG46" s="284">
        <f t="shared" si="21"/>
        <v>0</v>
      </c>
      <c r="AH46" s="284">
        <f t="shared" si="21"/>
        <v>38000</v>
      </c>
    </row>
    <row r="47" spans="1:34" ht="19.5" customHeight="1">
      <c r="A47" s="776"/>
      <c r="B47" s="269" t="s">
        <v>592</v>
      </c>
      <c r="C47" s="280"/>
      <c r="D47" s="280"/>
      <c r="E47" s="280"/>
      <c r="F47" s="280"/>
      <c r="G47" s="280"/>
      <c r="H47" s="280"/>
      <c r="I47" s="280"/>
      <c r="J47" s="280"/>
      <c r="K47" s="280"/>
      <c r="L47" s="280"/>
      <c r="M47" s="280"/>
      <c r="N47" s="280"/>
      <c r="O47" s="280"/>
      <c r="P47" s="280"/>
      <c r="Q47" s="280"/>
      <c r="R47" s="280"/>
      <c r="S47" s="280">
        <f t="shared" si="13"/>
        <v>0</v>
      </c>
      <c r="T47" s="280"/>
      <c r="U47" s="280">
        <v>40000</v>
      </c>
      <c r="V47" s="280"/>
      <c r="W47" s="280"/>
      <c r="X47" s="280">
        <f>SUM(S47:W47)</f>
        <v>40000</v>
      </c>
      <c r="Y47" s="280">
        <v>2000</v>
      </c>
      <c r="Z47" s="280"/>
      <c r="AA47" s="280"/>
      <c r="AB47" s="280"/>
      <c r="AC47" s="280"/>
      <c r="AD47" s="281">
        <f t="shared" si="15"/>
        <v>38000</v>
      </c>
      <c r="AE47" s="272"/>
      <c r="AF47" s="272"/>
      <c r="AG47" s="272"/>
      <c r="AH47" s="281">
        <f t="shared" si="16"/>
        <v>38000</v>
      </c>
    </row>
    <row r="48" spans="1:34" ht="19.5" customHeight="1">
      <c r="A48" s="776">
        <v>5</v>
      </c>
      <c r="B48" s="263" t="s">
        <v>475</v>
      </c>
      <c r="C48" s="280"/>
      <c r="D48" s="280"/>
      <c r="E48" s="280"/>
      <c r="F48" s="280"/>
      <c r="G48" s="280"/>
      <c r="H48" s="280"/>
      <c r="I48" s="280"/>
      <c r="J48" s="280"/>
      <c r="K48" s="280"/>
      <c r="L48" s="280"/>
      <c r="M48" s="280"/>
      <c r="N48" s="280"/>
      <c r="O48" s="280"/>
      <c r="P48" s="280"/>
      <c r="Q48" s="280"/>
      <c r="R48" s="280"/>
      <c r="S48" s="280">
        <f t="shared" si="13"/>
        <v>0</v>
      </c>
      <c r="T48" s="284"/>
      <c r="U48" s="284">
        <v>1000</v>
      </c>
      <c r="V48" s="284">
        <f aca="true" t="shared" si="22" ref="V48:AH48">V49</f>
        <v>0</v>
      </c>
      <c r="W48" s="284">
        <f t="shared" si="22"/>
        <v>0</v>
      </c>
      <c r="X48" s="284">
        <f t="shared" si="22"/>
        <v>1100</v>
      </c>
      <c r="Y48" s="284">
        <f t="shared" si="22"/>
        <v>100</v>
      </c>
      <c r="Z48" s="284">
        <f t="shared" si="22"/>
        <v>0</v>
      </c>
      <c r="AA48" s="284">
        <f t="shared" si="22"/>
        <v>0</v>
      </c>
      <c r="AB48" s="284">
        <f t="shared" si="22"/>
        <v>0</v>
      </c>
      <c r="AC48" s="284">
        <f t="shared" si="22"/>
        <v>0</v>
      </c>
      <c r="AD48" s="284">
        <f t="shared" si="22"/>
        <v>1000</v>
      </c>
      <c r="AE48" s="284">
        <f t="shared" si="22"/>
        <v>0</v>
      </c>
      <c r="AF48" s="284">
        <f t="shared" si="22"/>
        <v>0</v>
      </c>
      <c r="AG48" s="284">
        <f t="shared" si="22"/>
        <v>0</v>
      </c>
      <c r="AH48" s="284">
        <f t="shared" si="22"/>
        <v>1000</v>
      </c>
    </row>
    <row r="49" spans="1:34" ht="28.5" customHeight="1">
      <c r="A49" s="776"/>
      <c r="B49" s="269" t="s">
        <v>593</v>
      </c>
      <c r="C49" s="280"/>
      <c r="D49" s="280"/>
      <c r="E49" s="280"/>
      <c r="F49" s="280"/>
      <c r="G49" s="280"/>
      <c r="H49" s="280"/>
      <c r="I49" s="280"/>
      <c r="J49" s="280"/>
      <c r="K49" s="280"/>
      <c r="L49" s="280"/>
      <c r="M49" s="280"/>
      <c r="N49" s="280"/>
      <c r="O49" s="280"/>
      <c r="P49" s="280"/>
      <c r="Q49" s="280"/>
      <c r="R49" s="280"/>
      <c r="S49" s="280">
        <f t="shared" si="13"/>
        <v>0</v>
      </c>
      <c r="T49" s="280"/>
      <c r="U49" s="280">
        <v>1100</v>
      </c>
      <c r="V49" s="280"/>
      <c r="W49" s="280"/>
      <c r="X49" s="280">
        <f>SUM(S49:W49)</f>
        <v>1100</v>
      </c>
      <c r="Y49" s="280">
        <v>100</v>
      </c>
      <c r="Z49" s="280"/>
      <c r="AA49" s="280"/>
      <c r="AB49" s="280"/>
      <c r="AC49" s="280"/>
      <c r="AD49" s="281">
        <f t="shared" si="15"/>
        <v>1000</v>
      </c>
      <c r="AE49" s="272"/>
      <c r="AF49" s="272"/>
      <c r="AG49" s="272"/>
      <c r="AH49" s="281">
        <f t="shared" si="16"/>
        <v>1000</v>
      </c>
    </row>
    <row r="50" spans="1:34" ht="27.75" customHeight="1">
      <c r="A50" s="776">
        <v>6</v>
      </c>
      <c r="B50" s="263" t="s">
        <v>476</v>
      </c>
      <c r="C50" s="280"/>
      <c r="D50" s="280"/>
      <c r="E50" s="280"/>
      <c r="F50" s="280"/>
      <c r="G50" s="280"/>
      <c r="H50" s="280"/>
      <c r="I50" s="280"/>
      <c r="J50" s="280"/>
      <c r="K50" s="280"/>
      <c r="L50" s="280"/>
      <c r="M50" s="280"/>
      <c r="N50" s="280"/>
      <c r="O50" s="280"/>
      <c r="P50" s="280"/>
      <c r="Q50" s="280"/>
      <c r="R50" s="280"/>
      <c r="S50" s="280">
        <f t="shared" si="13"/>
        <v>0</v>
      </c>
      <c r="T50" s="284"/>
      <c r="U50" s="284">
        <f>U51</f>
        <v>110</v>
      </c>
      <c r="V50" s="284"/>
      <c r="W50" s="284"/>
      <c r="X50" s="284">
        <f>X51</f>
        <v>110</v>
      </c>
      <c r="Y50" s="284">
        <f>Y51</f>
        <v>10</v>
      </c>
      <c r="Z50" s="284">
        <f>Z51</f>
        <v>0</v>
      </c>
      <c r="AA50" s="284">
        <f>AA51</f>
        <v>0</v>
      </c>
      <c r="AB50" s="284">
        <f aca="true" t="shared" si="23" ref="AB50:AH50">AB51</f>
        <v>0</v>
      </c>
      <c r="AC50" s="284">
        <f t="shared" si="23"/>
        <v>0</v>
      </c>
      <c r="AD50" s="284">
        <f t="shared" si="23"/>
        <v>100</v>
      </c>
      <c r="AE50" s="284">
        <f t="shared" si="23"/>
        <v>0</v>
      </c>
      <c r="AF50" s="284">
        <f t="shared" si="23"/>
        <v>0</v>
      </c>
      <c r="AG50" s="284">
        <f t="shared" si="23"/>
        <v>0</v>
      </c>
      <c r="AH50" s="284">
        <f t="shared" si="23"/>
        <v>100</v>
      </c>
    </row>
    <row r="51" spans="1:34" ht="30" customHeight="1">
      <c r="A51" s="776"/>
      <c r="B51" s="269" t="s">
        <v>591</v>
      </c>
      <c r="C51" s="280"/>
      <c r="D51" s="280"/>
      <c r="E51" s="280"/>
      <c r="F51" s="280"/>
      <c r="G51" s="280"/>
      <c r="H51" s="280"/>
      <c r="I51" s="280"/>
      <c r="J51" s="280"/>
      <c r="K51" s="280"/>
      <c r="L51" s="280"/>
      <c r="M51" s="280"/>
      <c r="N51" s="280"/>
      <c r="O51" s="280"/>
      <c r="P51" s="280"/>
      <c r="Q51" s="280"/>
      <c r="R51" s="280"/>
      <c r="S51" s="280">
        <f t="shared" si="13"/>
        <v>0</v>
      </c>
      <c r="T51" s="280"/>
      <c r="U51" s="280">
        <v>110</v>
      </c>
      <c r="V51" s="280"/>
      <c r="W51" s="280"/>
      <c r="X51" s="280">
        <f>SUM(S51:W51)</f>
        <v>110</v>
      </c>
      <c r="Y51" s="280">
        <v>10</v>
      </c>
      <c r="Z51" s="280"/>
      <c r="AA51" s="280"/>
      <c r="AB51" s="280"/>
      <c r="AC51" s="280"/>
      <c r="AD51" s="281">
        <f t="shared" si="15"/>
        <v>100</v>
      </c>
      <c r="AE51" s="272"/>
      <c r="AF51" s="272"/>
      <c r="AG51" s="272"/>
      <c r="AH51" s="281">
        <f t="shared" si="16"/>
        <v>100</v>
      </c>
    </row>
    <row r="52" spans="1:34" ht="33" customHeight="1">
      <c r="A52" s="776">
        <v>7</v>
      </c>
      <c r="B52" s="263" t="s">
        <v>809</v>
      </c>
      <c r="C52" s="280"/>
      <c r="D52" s="280"/>
      <c r="E52" s="280"/>
      <c r="F52" s="280"/>
      <c r="G52" s="280"/>
      <c r="H52" s="280"/>
      <c r="I52" s="280"/>
      <c r="J52" s="280"/>
      <c r="K52" s="280"/>
      <c r="L52" s="280"/>
      <c r="M52" s="280"/>
      <c r="N52" s="280"/>
      <c r="O52" s="280"/>
      <c r="P52" s="280"/>
      <c r="Q52" s="280"/>
      <c r="R52" s="280"/>
      <c r="S52" s="280">
        <f t="shared" si="13"/>
        <v>0</v>
      </c>
      <c r="T52" s="280"/>
      <c r="U52" s="284">
        <v>1123</v>
      </c>
      <c r="V52" s="284"/>
      <c r="W52" s="284"/>
      <c r="X52" s="284">
        <f>SUM(S52:W52)</f>
        <v>1123</v>
      </c>
      <c r="Y52" s="284">
        <f>U52*10%</f>
        <v>112.30000000000001</v>
      </c>
      <c r="Z52" s="284"/>
      <c r="AA52" s="284"/>
      <c r="AB52" s="284"/>
      <c r="AC52" s="284"/>
      <c r="AD52" s="536">
        <f t="shared" si="15"/>
        <v>1010.7</v>
      </c>
      <c r="AE52" s="272"/>
      <c r="AF52" s="272"/>
      <c r="AG52" s="272"/>
      <c r="AH52" s="536">
        <f t="shared" si="16"/>
        <v>1010.7</v>
      </c>
    </row>
    <row r="53" spans="1:34" ht="24.75" customHeight="1">
      <c r="A53" s="776" t="s">
        <v>270</v>
      </c>
      <c r="B53" s="263" t="s">
        <v>37</v>
      </c>
      <c r="C53" s="280"/>
      <c r="D53" s="280"/>
      <c r="E53" s="280"/>
      <c r="F53" s="280"/>
      <c r="G53" s="280"/>
      <c r="H53" s="280"/>
      <c r="I53" s="280"/>
      <c r="J53" s="280"/>
      <c r="K53" s="280"/>
      <c r="L53" s="280"/>
      <c r="M53" s="280"/>
      <c r="N53" s="280"/>
      <c r="O53" s="280"/>
      <c r="P53" s="280"/>
      <c r="Q53" s="280"/>
      <c r="R53" s="280"/>
      <c r="S53" s="280">
        <f t="shared" si="13"/>
        <v>0</v>
      </c>
      <c r="T53" s="284"/>
      <c r="U53" s="284">
        <f>SUM(U54:U55)</f>
        <v>33568</v>
      </c>
      <c r="V53" s="284">
        <f aca="true" t="shared" si="24" ref="V53:AH53">SUM(V54:V55)</f>
        <v>0</v>
      </c>
      <c r="W53" s="284">
        <f t="shared" si="24"/>
        <v>0</v>
      </c>
      <c r="X53" s="284">
        <f t="shared" si="24"/>
        <v>33568</v>
      </c>
      <c r="Y53" s="284">
        <f t="shared" si="24"/>
        <v>0</v>
      </c>
      <c r="Z53" s="284">
        <f t="shared" si="24"/>
        <v>0</v>
      </c>
      <c r="AA53" s="284">
        <f t="shared" si="24"/>
        <v>0</v>
      </c>
      <c r="AB53" s="284">
        <f t="shared" si="24"/>
        <v>0</v>
      </c>
      <c r="AC53" s="284">
        <f t="shared" si="24"/>
        <v>0</v>
      </c>
      <c r="AD53" s="284">
        <f t="shared" si="24"/>
        <v>33568</v>
      </c>
      <c r="AE53" s="284">
        <f t="shared" si="24"/>
        <v>0</v>
      </c>
      <c r="AF53" s="284">
        <f t="shared" si="24"/>
        <v>0</v>
      </c>
      <c r="AG53" s="284">
        <f t="shared" si="24"/>
        <v>0</v>
      </c>
      <c r="AH53" s="284">
        <f t="shared" si="24"/>
        <v>33568</v>
      </c>
    </row>
    <row r="54" spans="1:34" ht="27" customHeight="1">
      <c r="A54" s="776"/>
      <c r="B54" s="269" t="s">
        <v>24</v>
      </c>
      <c r="C54" s="280"/>
      <c r="D54" s="280"/>
      <c r="E54" s="280"/>
      <c r="F54" s="280"/>
      <c r="G54" s="280"/>
      <c r="H54" s="280"/>
      <c r="I54" s="280"/>
      <c r="J54" s="280"/>
      <c r="K54" s="280"/>
      <c r="L54" s="280"/>
      <c r="M54" s="280"/>
      <c r="N54" s="280"/>
      <c r="O54" s="280"/>
      <c r="P54" s="280"/>
      <c r="Q54" s="280"/>
      <c r="R54" s="280"/>
      <c r="S54" s="280">
        <f t="shared" si="13"/>
        <v>0</v>
      </c>
      <c r="T54" s="883"/>
      <c r="U54" s="883">
        <v>33568</v>
      </c>
      <c r="V54" s="280"/>
      <c r="W54" s="280"/>
      <c r="X54" s="280">
        <f>SUM(S54:W54)</f>
        <v>33568</v>
      </c>
      <c r="Y54" s="280">
        <v>0</v>
      </c>
      <c r="Z54" s="280"/>
      <c r="AA54" s="280"/>
      <c r="AB54" s="280"/>
      <c r="AC54" s="280"/>
      <c r="AD54" s="281">
        <f t="shared" si="15"/>
        <v>33568</v>
      </c>
      <c r="AE54" s="272"/>
      <c r="AF54" s="272"/>
      <c r="AG54" s="272"/>
      <c r="AH54" s="281">
        <f t="shared" si="16"/>
        <v>33568</v>
      </c>
    </row>
    <row r="55" spans="1:34" ht="19.5" customHeight="1" hidden="1">
      <c r="A55" s="776"/>
      <c r="B55" s="272" t="s">
        <v>602</v>
      </c>
      <c r="C55" s="280"/>
      <c r="D55" s="280"/>
      <c r="E55" s="280"/>
      <c r="F55" s="280"/>
      <c r="G55" s="280"/>
      <c r="H55" s="280"/>
      <c r="I55" s="280"/>
      <c r="J55" s="280"/>
      <c r="K55" s="280"/>
      <c r="L55" s="280"/>
      <c r="M55" s="280"/>
      <c r="N55" s="280"/>
      <c r="O55" s="280"/>
      <c r="P55" s="280"/>
      <c r="Q55" s="280"/>
      <c r="R55" s="280"/>
      <c r="S55" s="280">
        <f t="shared" si="13"/>
        <v>0</v>
      </c>
      <c r="T55" s="280"/>
      <c r="U55" s="280"/>
      <c r="V55" s="280"/>
      <c r="W55" s="280"/>
      <c r="X55" s="280">
        <f>SUM(S55:W55)</f>
        <v>0</v>
      </c>
      <c r="Y55" s="280"/>
      <c r="Z55" s="280"/>
      <c r="AA55" s="280"/>
      <c r="AB55" s="280"/>
      <c r="AC55" s="280"/>
      <c r="AD55" s="536">
        <f t="shared" si="15"/>
        <v>0</v>
      </c>
      <c r="AE55" s="272"/>
      <c r="AF55" s="272"/>
      <c r="AG55" s="272"/>
      <c r="AH55" s="536">
        <f t="shared" si="16"/>
        <v>0</v>
      </c>
    </row>
    <row r="56" spans="1:35" ht="19.5" customHeight="1" hidden="1">
      <c r="A56" s="776"/>
      <c r="B56" s="884" t="s">
        <v>679</v>
      </c>
      <c r="C56" s="280"/>
      <c r="D56" s="280"/>
      <c r="E56" s="280"/>
      <c r="F56" s="280"/>
      <c r="G56" s="280"/>
      <c r="H56" s="280"/>
      <c r="I56" s="280"/>
      <c r="J56" s="280"/>
      <c r="K56" s="280"/>
      <c r="L56" s="280"/>
      <c r="M56" s="280"/>
      <c r="N56" s="280"/>
      <c r="O56" s="280"/>
      <c r="P56" s="280"/>
      <c r="Q56" s="280"/>
      <c r="R56" s="280"/>
      <c r="S56" s="280"/>
      <c r="T56" s="280"/>
      <c r="U56" s="280">
        <v>0</v>
      </c>
      <c r="V56" s="280"/>
      <c r="W56" s="280"/>
      <c r="X56" s="280">
        <f>SUM(S56:W56)</f>
        <v>0</v>
      </c>
      <c r="Y56" s="280"/>
      <c r="Z56" s="280"/>
      <c r="AA56" s="280"/>
      <c r="AB56" s="280"/>
      <c r="AC56" s="280"/>
      <c r="AD56" s="536">
        <f t="shared" si="15"/>
        <v>0</v>
      </c>
      <c r="AE56" s="272"/>
      <c r="AF56" s="272"/>
      <c r="AG56" s="272"/>
      <c r="AH56" s="536">
        <f t="shared" si="16"/>
        <v>0</v>
      </c>
      <c r="AI56" s="885">
        <v>1146</v>
      </c>
    </row>
    <row r="57" spans="1:35" ht="30" customHeight="1">
      <c r="A57" s="776" t="s">
        <v>271</v>
      </c>
      <c r="B57" s="263" t="s">
        <v>477</v>
      </c>
      <c r="C57" s="280"/>
      <c r="D57" s="280"/>
      <c r="E57" s="280"/>
      <c r="F57" s="280"/>
      <c r="G57" s="280"/>
      <c r="H57" s="280"/>
      <c r="I57" s="280"/>
      <c r="J57" s="280"/>
      <c r="K57" s="280"/>
      <c r="L57" s="280"/>
      <c r="M57" s="280"/>
      <c r="N57" s="280"/>
      <c r="O57" s="280"/>
      <c r="P57" s="280"/>
      <c r="Q57" s="280"/>
      <c r="R57" s="280"/>
      <c r="S57" s="284">
        <f>S58+S59</f>
        <v>0</v>
      </c>
      <c r="T57" s="284"/>
      <c r="U57" s="284">
        <f>U58+U59</f>
        <v>43858</v>
      </c>
      <c r="V57" s="284">
        <f aca="true" t="shared" si="25" ref="V57:AH57">V58+V59</f>
        <v>0</v>
      </c>
      <c r="W57" s="284">
        <f t="shared" si="25"/>
        <v>0</v>
      </c>
      <c r="X57" s="284">
        <f t="shared" si="25"/>
        <v>43858</v>
      </c>
      <c r="Y57" s="284">
        <f t="shared" si="25"/>
        <v>186</v>
      </c>
      <c r="Z57" s="284">
        <f t="shared" si="25"/>
        <v>0</v>
      </c>
      <c r="AA57" s="284">
        <f t="shared" si="25"/>
        <v>0</v>
      </c>
      <c r="AB57" s="284">
        <f t="shared" si="25"/>
        <v>0</v>
      </c>
      <c r="AC57" s="284">
        <f t="shared" si="25"/>
        <v>0</v>
      </c>
      <c r="AD57" s="284">
        <f t="shared" si="25"/>
        <v>43672</v>
      </c>
      <c r="AE57" s="284">
        <f t="shared" si="25"/>
        <v>0</v>
      </c>
      <c r="AF57" s="284">
        <f t="shared" si="25"/>
        <v>0</v>
      </c>
      <c r="AG57" s="284">
        <f t="shared" si="25"/>
        <v>0</v>
      </c>
      <c r="AH57" s="284">
        <f t="shared" si="25"/>
        <v>43672</v>
      </c>
      <c r="AI57" s="885">
        <v>1096</v>
      </c>
    </row>
    <row r="58" spans="1:34" ht="30.75" customHeight="1">
      <c r="A58" s="776"/>
      <c r="B58" s="269" t="s">
        <v>478</v>
      </c>
      <c r="C58" s="280"/>
      <c r="D58" s="280"/>
      <c r="E58" s="280"/>
      <c r="F58" s="280"/>
      <c r="G58" s="280"/>
      <c r="H58" s="280"/>
      <c r="I58" s="280"/>
      <c r="J58" s="280"/>
      <c r="K58" s="280"/>
      <c r="L58" s="280"/>
      <c r="M58" s="280"/>
      <c r="N58" s="280"/>
      <c r="O58" s="280"/>
      <c r="P58" s="280"/>
      <c r="Q58" s="280"/>
      <c r="R58" s="280"/>
      <c r="S58" s="280">
        <f t="shared" si="13"/>
        <v>0</v>
      </c>
      <c r="T58" s="280"/>
      <c r="U58" s="280">
        <v>42000</v>
      </c>
      <c r="V58" s="280"/>
      <c r="W58" s="280"/>
      <c r="X58" s="280">
        <f>SUM(S58:W58)</f>
        <v>42000</v>
      </c>
      <c r="Y58" s="280">
        <v>0</v>
      </c>
      <c r="Z58" s="280"/>
      <c r="AA58" s="280"/>
      <c r="AB58" s="280"/>
      <c r="AC58" s="280"/>
      <c r="AD58" s="281">
        <f t="shared" si="15"/>
        <v>42000</v>
      </c>
      <c r="AE58" s="272"/>
      <c r="AF58" s="272"/>
      <c r="AG58" s="272"/>
      <c r="AH58" s="281">
        <f t="shared" si="16"/>
        <v>42000</v>
      </c>
    </row>
    <row r="59" spans="1:34" ht="42" customHeight="1">
      <c r="A59" s="776"/>
      <c r="B59" s="269" t="s">
        <v>806</v>
      </c>
      <c r="C59" s="280"/>
      <c r="D59" s="280"/>
      <c r="E59" s="280"/>
      <c r="F59" s="280"/>
      <c r="G59" s="280"/>
      <c r="H59" s="280"/>
      <c r="I59" s="280"/>
      <c r="J59" s="280"/>
      <c r="K59" s="280"/>
      <c r="L59" s="280"/>
      <c r="M59" s="280"/>
      <c r="N59" s="280"/>
      <c r="O59" s="280"/>
      <c r="P59" s="280"/>
      <c r="Q59" s="280"/>
      <c r="R59" s="280"/>
      <c r="S59" s="280">
        <f t="shared" si="13"/>
        <v>0</v>
      </c>
      <c r="T59" s="280"/>
      <c r="U59" s="280">
        <v>1858</v>
      </c>
      <c r="V59" s="280"/>
      <c r="W59" s="280"/>
      <c r="X59" s="280">
        <f>SUM(S59:W59)</f>
        <v>1858</v>
      </c>
      <c r="Y59" s="280">
        <f>186</f>
        <v>186</v>
      </c>
      <c r="Z59" s="280"/>
      <c r="AA59" s="280"/>
      <c r="AB59" s="280"/>
      <c r="AC59" s="280"/>
      <c r="AD59" s="281">
        <f t="shared" si="15"/>
        <v>1672</v>
      </c>
      <c r="AE59" s="272"/>
      <c r="AF59" s="272"/>
      <c r="AG59" s="272"/>
      <c r="AH59" s="281">
        <f t="shared" si="16"/>
        <v>1672</v>
      </c>
    </row>
    <row r="60" spans="1:34" ht="30.75" customHeight="1">
      <c r="A60" s="776" t="s">
        <v>340</v>
      </c>
      <c r="B60" s="263" t="s">
        <v>831</v>
      </c>
      <c r="C60" s="280"/>
      <c r="D60" s="280"/>
      <c r="E60" s="280"/>
      <c r="F60" s="280"/>
      <c r="G60" s="280"/>
      <c r="H60" s="280"/>
      <c r="I60" s="280"/>
      <c r="J60" s="280"/>
      <c r="K60" s="280"/>
      <c r="L60" s="280"/>
      <c r="M60" s="280"/>
      <c r="N60" s="280"/>
      <c r="O60" s="280"/>
      <c r="P60" s="280"/>
      <c r="Q60" s="280"/>
      <c r="R60" s="280"/>
      <c r="S60" s="280">
        <f t="shared" si="13"/>
        <v>0</v>
      </c>
      <c r="T60" s="284"/>
      <c r="U60" s="284">
        <v>5000</v>
      </c>
      <c r="V60" s="284"/>
      <c r="W60" s="284"/>
      <c r="X60" s="284">
        <f>SUM(S60:W60)</f>
        <v>5000</v>
      </c>
      <c r="Y60" s="284"/>
      <c r="Z60" s="284"/>
      <c r="AA60" s="284"/>
      <c r="AB60" s="284"/>
      <c r="AC60" s="284"/>
      <c r="AD60" s="536">
        <f t="shared" si="15"/>
        <v>5000</v>
      </c>
      <c r="AE60" s="272"/>
      <c r="AF60" s="272"/>
      <c r="AG60" s="272"/>
      <c r="AH60" s="536">
        <f t="shared" si="16"/>
        <v>5000</v>
      </c>
    </row>
    <row r="61" spans="1:34" ht="25.5" customHeight="1">
      <c r="A61" s="776" t="s">
        <v>378</v>
      </c>
      <c r="B61" s="263" t="s">
        <v>479</v>
      </c>
      <c r="C61" s="280"/>
      <c r="D61" s="280"/>
      <c r="E61" s="280"/>
      <c r="F61" s="280"/>
      <c r="G61" s="280"/>
      <c r="H61" s="280"/>
      <c r="I61" s="280"/>
      <c r="J61" s="280"/>
      <c r="K61" s="280"/>
      <c r="L61" s="280"/>
      <c r="M61" s="280"/>
      <c r="N61" s="280"/>
      <c r="O61" s="280"/>
      <c r="P61" s="280"/>
      <c r="Q61" s="280"/>
      <c r="R61" s="280"/>
      <c r="S61" s="284">
        <f>S62</f>
        <v>0</v>
      </c>
      <c r="T61" s="284">
        <f aca="true" t="shared" si="26" ref="T61:AH61">T62</f>
        <v>0</v>
      </c>
      <c r="U61" s="284">
        <f t="shared" si="26"/>
        <v>1703</v>
      </c>
      <c r="V61" s="284">
        <f t="shared" si="26"/>
        <v>0</v>
      </c>
      <c r="W61" s="284">
        <f t="shared" si="26"/>
        <v>0</v>
      </c>
      <c r="X61" s="284">
        <f t="shared" si="26"/>
        <v>1703</v>
      </c>
      <c r="Y61" s="284">
        <f t="shared" si="26"/>
        <v>170.3</v>
      </c>
      <c r="Z61" s="284">
        <f t="shared" si="26"/>
        <v>0</v>
      </c>
      <c r="AA61" s="284">
        <f t="shared" si="26"/>
        <v>0</v>
      </c>
      <c r="AB61" s="284">
        <f t="shared" si="26"/>
        <v>0</v>
      </c>
      <c r="AC61" s="284">
        <f t="shared" si="26"/>
        <v>0</v>
      </c>
      <c r="AD61" s="284">
        <f t="shared" si="26"/>
        <v>1532.7</v>
      </c>
      <c r="AE61" s="284">
        <f t="shared" si="26"/>
        <v>0</v>
      </c>
      <c r="AF61" s="284">
        <f t="shared" si="26"/>
        <v>0</v>
      </c>
      <c r="AG61" s="284">
        <f t="shared" si="26"/>
        <v>0</v>
      </c>
      <c r="AH61" s="284">
        <f t="shared" si="26"/>
        <v>1532.7</v>
      </c>
    </row>
    <row r="62" spans="1:34" ht="45.75" customHeight="1">
      <c r="A62" s="776"/>
      <c r="B62" s="274" t="s">
        <v>805</v>
      </c>
      <c r="C62" s="280"/>
      <c r="D62" s="280"/>
      <c r="E62" s="280"/>
      <c r="F62" s="280"/>
      <c r="G62" s="280"/>
      <c r="H62" s="280"/>
      <c r="I62" s="280"/>
      <c r="J62" s="280"/>
      <c r="K62" s="280"/>
      <c r="L62" s="280"/>
      <c r="M62" s="280"/>
      <c r="N62" s="280"/>
      <c r="O62" s="280"/>
      <c r="P62" s="280"/>
      <c r="Q62" s="280"/>
      <c r="R62" s="280"/>
      <c r="S62" s="280">
        <f t="shared" si="13"/>
        <v>0</v>
      </c>
      <c r="T62" s="280"/>
      <c r="U62" s="280">
        <v>1703</v>
      </c>
      <c r="V62" s="280"/>
      <c r="W62" s="280"/>
      <c r="X62" s="280">
        <f>SUM(S62:W62)</f>
        <v>1703</v>
      </c>
      <c r="Y62" s="280">
        <f>U62*10%</f>
        <v>170.3</v>
      </c>
      <c r="Z62" s="280"/>
      <c r="AA62" s="280"/>
      <c r="AB62" s="280"/>
      <c r="AC62" s="280"/>
      <c r="AD62" s="281">
        <f t="shared" si="15"/>
        <v>1532.7</v>
      </c>
      <c r="AE62" s="272"/>
      <c r="AF62" s="272"/>
      <c r="AG62" s="272"/>
      <c r="AH62" s="281">
        <f t="shared" si="16"/>
        <v>1532.7</v>
      </c>
    </row>
    <row r="63" spans="1:34" ht="26.25" customHeight="1">
      <c r="A63" s="776" t="s">
        <v>480</v>
      </c>
      <c r="B63" s="263" t="s">
        <v>481</v>
      </c>
      <c r="C63" s="280"/>
      <c r="D63" s="280"/>
      <c r="E63" s="280"/>
      <c r="F63" s="280"/>
      <c r="G63" s="280"/>
      <c r="H63" s="280"/>
      <c r="I63" s="280"/>
      <c r="J63" s="280"/>
      <c r="K63" s="280"/>
      <c r="L63" s="280"/>
      <c r="M63" s="280"/>
      <c r="N63" s="280"/>
      <c r="O63" s="280"/>
      <c r="P63" s="280"/>
      <c r="Q63" s="280"/>
      <c r="R63" s="280"/>
      <c r="S63" s="284">
        <f>S64+S65</f>
        <v>0</v>
      </c>
      <c r="T63" s="284"/>
      <c r="U63" s="284">
        <f aca="true" t="shared" si="27" ref="U63:AH63">U64+U65</f>
        <v>10064</v>
      </c>
      <c r="V63" s="284">
        <f t="shared" si="27"/>
        <v>0</v>
      </c>
      <c r="W63" s="284">
        <f t="shared" si="27"/>
        <v>0</v>
      </c>
      <c r="X63" s="284">
        <f t="shared" si="27"/>
        <v>10064</v>
      </c>
      <c r="Y63" s="284">
        <f t="shared" si="27"/>
        <v>1006.4000000000001</v>
      </c>
      <c r="Z63" s="284">
        <f t="shared" si="27"/>
        <v>0</v>
      </c>
      <c r="AA63" s="284">
        <f t="shared" si="27"/>
        <v>0</v>
      </c>
      <c r="AB63" s="284">
        <f t="shared" si="27"/>
        <v>0</v>
      </c>
      <c r="AC63" s="284">
        <f t="shared" si="27"/>
        <v>0</v>
      </c>
      <c r="AD63" s="284">
        <f t="shared" si="27"/>
        <v>9057.6</v>
      </c>
      <c r="AE63" s="284">
        <f t="shared" si="27"/>
        <v>0</v>
      </c>
      <c r="AF63" s="284">
        <f t="shared" si="27"/>
        <v>0</v>
      </c>
      <c r="AG63" s="284">
        <f t="shared" si="27"/>
        <v>0</v>
      </c>
      <c r="AH63" s="284">
        <f t="shared" si="27"/>
        <v>9057.6</v>
      </c>
    </row>
    <row r="64" spans="1:34" ht="45" customHeight="1">
      <c r="A64" s="776"/>
      <c r="B64" s="274" t="s">
        <v>804</v>
      </c>
      <c r="C64" s="280"/>
      <c r="D64" s="280"/>
      <c r="E64" s="280"/>
      <c r="F64" s="280"/>
      <c r="G64" s="280"/>
      <c r="H64" s="280"/>
      <c r="I64" s="280"/>
      <c r="J64" s="280"/>
      <c r="K64" s="280"/>
      <c r="L64" s="280"/>
      <c r="M64" s="280"/>
      <c r="N64" s="280"/>
      <c r="O64" s="280"/>
      <c r="P64" s="280"/>
      <c r="Q64" s="280"/>
      <c r="R64" s="280"/>
      <c r="S64" s="280">
        <f t="shared" si="13"/>
        <v>0</v>
      </c>
      <c r="T64" s="280"/>
      <c r="U64" s="280">
        <v>10064</v>
      </c>
      <c r="V64" s="280"/>
      <c r="W64" s="280"/>
      <c r="X64" s="280">
        <f>SUM(S64:W64)</f>
        <v>10064</v>
      </c>
      <c r="Y64" s="280">
        <f>U64*10%</f>
        <v>1006.4000000000001</v>
      </c>
      <c r="Z64" s="280"/>
      <c r="AA64" s="280"/>
      <c r="AB64" s="280"/>
      <c r="AC64" s="280"/>
      <c r="AD64" s="281">
        <f t="shared" si="15"/>
        <v>9057.6</v>
      </c>
      <c r="AE64" s="272"/>
      <c r="AF64" s="272"/>
      <c r="AG64" s="272"/>
      <c r="AH64" s="281">
        <f t="shared" si="16"/>
        <v>9057.6</v>
      </c>
    </row>
    <row r="65" spans="1:34" ht="36" customHeight="1" hidden="1">
      <c r="A65" s="776"/>
      <c r="B65" s="274" t="s">
        <v>482</v>
      </c>
      <c r="C65" s="280"/>
      <c r="D65" s="280"/>
      <c r="E65" s="280"/>
      <c r="F65" s="280"/>
      <c r="G65" s="280"/>
      <c r="H65" s="280"/>
      <c r="I65" s="280"/>
      <c r="J65" s="280"/>
      <c r="K65" s="280"/>
      <c r="L65" s="280"/>
      <c r="M65" s="280"/>
      <c r="N65" s="280"/>
      <c r="O65" s="280"/>
      <c r="P65" s="280"/>
      <c r="Q65" s="280"/>
      <c r="R65" s="280"/>
      <c r="S65" s="280">
        <f t="shared" si="13"/>
        <v>0</v>
      </c>
      <c r="T65" s="280"/>
      <c r="U65" s="280"/>
      <c r="V65" s="280"/>
      <c r="W65" s="280"/>
      <c r="X65" s="280">
        <f>SUM(S65:W65)</f>
        <v>0</v>
      </c>
      <c r="Y65" s="280">
        <f>T65*10%</f>
        <v>0</v>
      </c>
      <c r="Z65" s="280"/>
      <c r="AA65" s="280"/>
      <c r="AB65" s="280"/>
      <c r="AC65" s="280"/>
      <c r="AD65" s="536">
        <f t="shared" si="15"/>
        <v>0</v>
      </c>
      <c r="AE65" s="272"/>
      <c r="AF65" s="272"/>
      <c r="AG65" s="272"/>
      <c r="AH65" s="536">
        <f t="shared" si="16"/>
        <v>0</v>
      </c>
    </row>
    <row r="66" spans="1:35" ht="29.25" customHeight="1">
      <c r="A66" s="776" t="s">
        <v>483</v>
      </c>
      <c r="B66" s="263" t="s">
        <v>484</v>
      </c>
      <c r="C66" s="280"/>
      <c r="D66" s="280"/>
      <c r="E66" s="280"/>
      <c r="F66" s="280"/>
      <c r="G66" s="280"/>
      <c r="H66" s="280"/>
      <c r="I66" s="280"/>
      <c r="J66" s="280"/>
      <c r="K66" s="280"/>
      <c r="L66" s="280"/>
      <c r="M66" s="280"/>
      <c r="N66" s="280"/>
      <c r="O66" s="280"/>
      <c r="P66" s="280"/>
      <c r="Q66" s="280"/>
      <c r="R66" s="280"/>
      <c r="S66" s="284">
        <f aca="true" t="shared" si="28" ref="S66:AI66">SUM(S67:S70)</f>
        <v>0</v>
      </c>
      <c r="T66" s="284">
        <f t="shared" si="28"/>
        <v>0</v>
      </c>
      <c r="U66" s="284">
        <f t="shared" si="28"/>
        <v>9578</v>
      </c>
      <c r="V66" s="284">
        <f t="shared" si="28"/>
        <v>2461.6</v>
      </c>
      <c r="W66" s="284">
        <f t="shared" si="28"/>
        <v>0</v>
      </c>
      <c r="X66" s="284">
        <f t="shared" si="28"/>
        <v>12039.6</v>
      </c>
      <c r="Y66" s="284">
        <f t="shared" si="28"/>
        <v>957.8000000000001</v>
      </c>
      <c r="Z66" s="284">
        <f t="shared" si="28"/>
        <v>0</v>
      </c>
      <c r="AA66" s="284">
        <f t="shared" si="28"/>
        <v>0</v>
      </c>
      <c r="AB66" s="284">
        <f t="shared" si="28"/>
        <v>0</v>
      </c>
      <c r="AC66" s="284">
        <f t="shared" si="28"/>
        <v>0</v>
      </c>
      <c r="AD66" s="284">
        <f t="shared" si="28"/>
        <v>11081.800000000001</v>
      </c>
      <c r="AE66" s="284">
        <f t="shared" si="28"/>
        <v>0</v>
      </c>
      <c r="AF66" s="284">
        <f t="shared" si="28"/>
        <v>0</v>
      </c>
      <c r="AG66" s="284">
        <f t="shared" si="28"/>
        <v>0</v>
      </c>
      <c r="AH66" s="284">
        <f t="shared" si="28"/>
        <v>11081.800000000001</v>
      </c>
      <c r="AI66" s="284">
        <f t="shared" si="28"/>
        <v>0</v>
      </c>
    </row>
    <row r="67" spans="1:34" ht="22.5" customHeight="1">
      <c r="A67" s="268">
        <v>1</v>
      </c>
      <c r="B67" s="272" t="s">
        <v>506</v>
      </c>
      <c r="C67" s="272"/>
      <c r="D67" s="272"/>
      <c r="E67" s="272"/>
      <c r="F67" s="272"/>
      <c r="G67" s="272"/>
      <c r="H67" s="272"/>
      <c r="I67" s="272"/>
      <c r="J67" s="272"/>
      <c r="K67" s="272"/>
      <c r="L67" s="272"/>
      <c r="M67" s="272"/>
      <c r="N67" s="272"/>
      <c r="O67" s="272"/>
      <c r="P67" s="272"/>
      <c r="Q67" s="272"/>
      <c r="R67" s="272"/>
      <c r="S67" s="272"/>
      <c r="T67" s="272"/>
      <c r="U67" s="280"/>
      <c r="V67" s="280">
        <f>ATGT!F12-ATGT!F41</f>
        <v>2461.6</v>
      </c>
      <c r="W67" s="280"/>
      <c r="X67" s="280">
        <f>SUM(S67:W67)</f>
        <v>2461.6</v>
      </c>
      <c r="Y67" s="280"/>
      <c r="Z67" s="280"/>
      <c r="AA67" s="280"/>
      <c r="AB67" s="280"/>
      <c r="AC67" s="280"/>
      <c r="AD67" s="281">
        <f t="shared" si="15"/>
        <v>2461.6</v>
      </c>
      <c r="AE67" s="272"/>
      <c r="AF67" s="272"/>
      <c r="AG67" s="272"/>
      <c r="AH67" s="281">
        <f t="shared" si="16"/>
        <v>2461.6</v>
      </c>
    </row>
    <row r="68" spans="1:34" ht="18" customHeight="1" hidden="1">
      <c r="A68" s="268"/>
      <c r="B68" s="272" t="s">
        <v>604</v>
      </c>
      <c r="C68" s="272"/>
      <c r="D68" s="272"/>
      <c r="E68" s="272"/>
      <c r="F68" s="272"/>
      <c r="G68" s="272"/>
      <c r="H68" s="272"/>
      <c r="I68" s="272"/>
      <c r="J68" s="272"/>
      <c r="K68" s="272"/>
      <c r="L68" s="272"/>
      <c r="M68" s="272"/>
      <c r="N68" s="272"/>
      <c r="O68" s="272"/>
      <c r="P68" s="272"/>
      <c r="Q68" s="272"/>
      <c r="R68" s="272"/>
      <c r="S68" s="272"/>
      <c r="T68" s="272"/>
      <c r="U68" s="280"/>
      <c r="V68" s="280"/>
      <c r="W68" s="280"/>
      <c r="X68" s="280"/>
      <c r="Y68" s="280"/>
      <c r="Z68" s="280"/>
      <c r="AA68" s="280"/>
      <c r="AB68" s="280"/>
      <c r="AC68" s="280"/>
      <c r="AD68" s="281">
        <f t="shared" si="15"/>
        <v>0</v>
      </c>
      <c r="AE68" s="272"/>
      <c r="AF68" s="272"/>
      <c r="AG68" s="272"/>
      <c r="AH68" s="281">
        <f t="shared" si="16"/>
        <v>0</v>
      </c>
    </row>
    <row r="69" spans="1:34" ht="20.25" customHeight="1" hidden="1">
      <c r="A69" s="268"/>
      <c r="B69" s="272" t="s">
        <v>682</v>
      </c>
      <c r="C69" s="272"/>
      <c r="D69" s="272"/>
      <c r="E69" s="272"/>
      <c r="F69" s="272"/>
      <c r="G69" s="272"/>
      <c r="H69" s="272"/>
      <c r="I69" s="272"/>
      <c r="J69" s="272"/>
      <c r="K69" s="272"/>
      <c r="L69" s="272"/>
      <c r="M69" s="272"/>
      <c r="N69" s="272"/>
      <c r="O69" s="272"/>
      <c r="P69" s="272"/>
      <c r="Q69" s="272"/>
      <c r="R69" s="272"/>
      <c r="S69" s="272"/>
      <c r="T69" s="272"/>
      <c r="U69" s="280"/>
      <c r="V69" s="280"/>
      <c r="W69" s="280"/>
      <c r="X69" s="280"/>
      <c r="Y69" s="280"/>
      <c r="Z69" s="280"/>
      <c r="AA69" s="280"/>
      <c r="AB69" s="280"/>
      <c r="AC69" s="280"/>
      <c r="AD69" s="281">
        <f t="shared" si="15"/>
        <v>0</v>
      </c>
      <c r="AE69" s="272"/>
      <c r="AF69" s="272"/>
      <c r="AG69" s="272"/>
      <c r="AH69" s="281">
        <f t="shared" si="16"/>
        <v>0</v>
      </c>
    </row>
    <row r="70" spans="1:34" ht="29.25" customHeight="1">
      <c r="A70" s="268">
        <v>2</v>
      </c>
      <c r="B70" s="272" t="s">
        <v>507</v>
      </c>
      <c r="C70" s="272"/>
      <c r="D70" s="272"/>
      <c r="E70" s="272"/>
      <c r="F70" s="272"/>
      <c r="G70" s="272"/>
      <c r="H70" s="272"/>
      <c r="I70" s="272"/>
      <c r="J70" s="272"/>
      <c r="K70" s="272"/>
      <c r="L70" s="272"/>
      <c r="M70" s="272"/>
      <c r="N70" s="272"/>
      <c r="O70" s="272"/>
      <c r="P70" s="272"/>
      <c r="Q70" s="272"/>
      <c r="R70" s="272"/>
      <c r="S70" s="272"/>
      <c r="T70" s="272"/>
      <c r="U70" s="280">
        <f>X70</f>
        <v>9578</v>
      </c>
      <c r="V70" s="280"/>
      <c r="W70" s="280"/>
      <c r="X70" s="280">
        <f>6185+500+2000+1000-100-300+470-177</f>
        <v>9578</v>
      </c>
      <c r="Y70" s="280">
        <f>U70*10%</f>
        <v>957.8000000000001</v>
      </c>
      <c r="Z70" s="280"/>
      <c r="AA70" s="280"/>
      <c r="AB70" s="280"/>
      <c r="AC70" s="280"/>
      <c r="AD70" s="281">
        <f t="shared" si="15"/>
        <v>8620.2</v>
      </c>
      <c r="AE70" s="272"/>
      <c r="AF70" s="272"/>
      <c r="AG70" s="272"/>
      <c r="AH70" s="281">
        <f t="shared" si="16"/>
        <v>8620.2</v>
      </c>
    </row>
    <row r="75" ht="12.75">
      <c r="X75" s="726"/>
    </row>
  </sheetData>
  <sheetProtection/>
  <mergeCells count="34">
    <mergeCell ref="A5:AH5"/>
    <mergeCell ref="AA9:AA11"/>
    <mergeCell ref="T7:T11"/>
    <mergeCell ref="Z7:AB7"/>
    <mergeCell ref="V7:V11"/>
    <mergeCell ref="A7:A11"/>
    <mergeCell ref="E8:E11"/>
    <mergeCell ref="AF6:AH6"/>
    <mergeCell ref="AE8:AE11"/>
    <mergeCell ref="H8:Q8"/>
    <mergeCell ref="C7:C11"/>
    <mergeCell ref="D7:D11"/>
    <mergeCell ref="E7:R7"/>
    <mergeCell ref="S7:S11"/>
    <mergeCell ref="R8:R11"/>
    <mergeCell ref="F8:F11"/>
    <mergeCell ref="G8:G11"/>
    <mergeCell ref="AG9:AG11"/>
    <mergeCell ref="Z8:Z11"/>
    <mergeCell ref="Y7:Y11"/>
    <mergeCell ref="AA8:AB8"/>
    <mergeCell ref="AB9:AB11"/>
    <mergeCell ref="W7:W11"/>
    <mergeCell ref="AC7:AC11"/>
    <mergeCell ref="B7:B11"/>
    <mergeCell ref="X7:X11"/>
    <mergeCell ref="AD7:AD11"/>
    <mergeCell ref="A3:AH3"/>
    <mergeCell ref="AE7:AG7"/>
    <mergeCell ref="AH7:AH11"/>
    <mergeCell ref="A4:AH4"/>
    <mergeCell ref="AF8:AG8"/>
    <mergeCell ref="AF9:AF11"/>
    <mergeCell ref="U7:U11"/>
  </mergeCells>
  <printOptions/>
  <pageMargins left="0.31" right="0.26" top="0.43" bottom="0.42" header="0.46" footer="0.22"/>
  <pageSetup horizontalDpi="600" verticalDpi="600" orientation="landscape" paperSize="9" scale="75" r:id="rId4"/>
  <headerFooter alignWithMargins="0">
    <oddFooter>&amp;CPage &amp;P</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rgb="FF0070C0"/>
  </sheetPr>
  <dimension ref="A1:V82"/>
  <sheetViews>
    <sheetView zoomScalePageLayoutView="0" workbookViewId="0" topLeftCell="A1">
      <selection activeCell="A5" sqref="A5:U5"/>
    </sheetView>
  </sheetViews>
  <sheetFormatPr defaultColWidth="8.57421875" defaultRowHeight="12.75"/>
  <cols>
    <col min="1" max="1" width="5.140625" style="19" customWidth="1"/>
    <col min="2" max="2" width="24.140625" style="18" customWidth="1"/>
    <col min="3" max="3" width="8.8515625" style="18" customWidth="1"/>
    <col min="4" max="4" width="8.7109375" style="18" customWidth="1"/>
    <col min="5" max="5" width="11.00390625" style="18" customWidth="1"/>
    <col min="6" max="6" width="10.140625" style="18" customWidth="1"/>
    <col min="7" max="7" width="9.28125" style="55" hidden="1" customWidth="1"/>
    <col min="8" max="8" width="8.28125" style="18" customWidth="1"/>
    <col min="9" max="9" width="11.57421875" style="18" customWidth="1"/>
    <col min="10" max="10" width="9.140625" style="18" customWidth="1"/>
    <col min="11" max="11" width="10.8515625" style="18" customWidth="1"/>
    <col min="12" max="12" width="10.00390625" style="18" customWidth="1"/>
    <col min="13" max="13" width="10.140625" style="18" customWidth="1"/>
    <col min="14" max="15" width="10.7109375" style="18" customWidth="1"/>
    <col min="16" max="16" width="11.7109375" style="18" customWidth="1"/>
    <col min="17" max="17" width="7.8515625" style="18" customWidth="1"/>
    <col min="18" max="18" width="8.7109375" style="18" customWidth="1"/>
    <col min="19" max="19" width="9.8515625" style="18" customWidth="1"/>
    <col min="20" max="20" width="8.421875" style="18" customWidth="1"/>
    <col min="21" max="21" width="11.140625" style="18" customWidth="1"/>
    <col min="22" max="22" width="10.7109375" style="18" customWidth="1"/>
    <col min="23" max="23" width="13.00390625" style="18" customWidth="1"/>
    <col min="24" max="16384" width="8.57421875" style="18" customWidth="1"/>
  </cols>
  <sheetData>
    <row r="1" ht="16.5">
      <c r="A1" s="24" t="s">
        <v>852</v>
      </c>
    </row>
    <row r="2" spans="1:9" ht="16.5">
      <c r="A2" s="24" t="s">
        <v>851</v>
      </c>
      <c r="I2" s="66"/>
    </row>
    <row r="3" spans="2:21" ht="18.75">
      <c r="B3" s="945" t="s">
        <v>36</v>
      </c>
      <c r="C3" s="945"/>
      <c r="D3" s="945"/>
      <c r="E3" s="945"/>
      <c r="F3" s="945"/>
      <c r="G3" s="945"/>
      <c r="H3" s="945"/>
      <c r="I3" s="945"/>
      <c r="J3" s="945"/>
      <c r="K3" s="945"/>
      <c r="L3" s="945"/>
      <c r="M3" s="945"/>
      <c r="N3" s="945"/>
      <c r="O3" s="945"/>
      <c r="P3" s="945"/>
      <c r="Q3" s="945"/>
      <c r="R3" s="945"/>
      <c r="S3" s="945"/>
      <c r="T3" s="945"/>
      <c r="U3" s="945"/>
    </row>
    <row r="4" spans="1:21" ht="21" customHeight="1">
      <c r="A4" s="946" t="s">
        <v>842</v>
      </c>
      <c r="B4" s="946"/>
      <c r="C4" s="946"/>
      <c r="D4" s="946"/>
      <c r="E4" s="946"/>
      <c r="F4" s="946"/>
      <c r="G4" s="946"/>
      <c r="H4" s="946"/>
      <c r="I4" s="946"/>
      <c r="J4" s="946"/>
      <c r="K4" s="946"/>
      <c r="L4" s="946"/>
      <c r="M4" s="946"/>
      <c r="N4" s="946"/>
      <c r="O4" s="946"/>
      <c r="P4" s="946"/>
      <c r="Q4" s="946"/>
      <c r="R4" s="946"/>
      <c r="S4" s="946"/>
      <c r="T4" s="946"/>
      <c r="U4" s="946"/>
    </row>
    <row r="5" spans="1:21" ht="21" customHeight="1">
      <c r="A5" s="947" t="s">
        <v>853</v>
      </c>
      <c r="B5" s="947"/>
      <c r="C5" s="947"/>
      <c r="D5" s="947"/>
      <c r="E5" s="947"/>
      <c r="F5" s="947"/>
      <c r="G5" s="947"/>
      <c r="H5" s="947"/>
      <c r="I5" s="947"/>
      <c r="J5" s="947"/>
      <c r="K5" s="947"/>
      <c r="L5" s="947"/>
      <c r="M5" s="947"/>
      <c r="N5" s="947"/>
      <c r="O5" s="947"/>
      <c r="P5" s="947"/>
      <c r="Q5" s="947"/>
      <c r="R5" s="947"/>
      <c r="S5" s="947"/>
      <c r="T5" s="947"/>
      <c r="U5" s="947"/>
    </row>
    <row r="6" spans="4:21" ht="21" customHeight="1">
      <c r="D6" s="54"/>
      <c r="I6" s="65"/>
      <c r="K6" s="54"/>
      <c r="P6" s="54"/>
      <c r="R6" s="952" t="s">
        <v>707</v>
      </c>
      <c r="S6" s="952"/>
      <c r="T6" s="952"/>
      <c r="U6" s="952"/>
    </row>
    <row r="7" spans="1:21" ht="18" customHeight="1">
      <c r="A7" s="937" t="s">
        <v>266</v>
      </c>
      <c r="B7" s="937" t="s">
        <v>288</v>
      </c>
      <c r="C7" s="937" t="s">
        <v>775</v>
      </c>
      <c r="D7" s="937" t="s">
        <v>776</v>
      </c>
      <c r="E7" s="948" t="s">
        <v>777</v>
      </c>
      <c r="F7" s="948" t="s">
        <v>289</v>
      </c>
      <c r="G7" s="949" t="s">
        <v>227</v>
      </c>
      <c r="H7" s="948" t="s">
        <v>489</v>
      </c>
      <c r="I7" s="948" t="s">
        <v>290</v>
      </c>
      <c r="J7" s="948" t="s">
        <v>291</v>
      </c>
      <c r="K7" s="937" t="s">
        <v>292</v>
      </c>
      <c r="L7" s="940" t="s">
        <v>515</v>
      </c>
      <c r="M7" s="940"/>
      <c r="N7" s="940"/>
      <c r="O7" s="948" t="s">
        <v>779</v>
      </c>
      <c r="P7" s="937" t="s">
        <v>553</v>
      </c>
      <c r="Q7" s="937" t="s">
        <v>490</v>
      </c>
      <c r="R7" s="940" t="s">
        <v>518</v>
      </c>
      <c r="S7" s="940"/>
      <c r="T7" s="940"/>
      <c r="U7" s="937" t="s">
        <v>774</v>
      </c>
    </row>
    <row r="8" spans="1:21" ht="16.5" customHeight="1">
      <c r="A8" s="938"/>
      <c r="B8" s="938"/>
      <c r="C8" s="938"/>
      <c r="D8" s="938"/>
      <c r="E8" s="948"/>
      <c r="F8" s="948"/>
      <c r="G8" s="950"/>
      <c r="H8" s="948"/>
      <c r="I8" s="948"/>
      <c r="J8" s="948"/>
      <c r="K8" s="938"/>
      <c r="L8" s="942" t="s">
        <v>516</v>
      </c>
      <c r="M8" s="940" t="s">
        <v>294</v>
      </c>
      <c r="N8" s="940"/>
      <c r="O8" s="948"/>
      <c r="P8" s="938"/>
      <c r="Q8" s="938"/>
      <c r="R8" s="941" t="s">
        <v>555</v>
      </c>
      <c r="S8" s="940" t="s">
        <v>294</v>
      </c>
      <c r="T8" s="940"/>
      <c r="U8" s="938"/>
    </row>
    <row r="9" spans="1:21" ht="24" customHeight="1">
      <c r="A9" s="938"/>
      <c r="B9" s="938"/>
      <c r="C9" s="938"/>
      <c r="D9" s="938"/>
      <c r="E9" s="948"/>
      <c r="F9" s="948"/>
      <c r="G9" s="950"/>
      <c r="H9" s="948"/>
      <c r="I9" s="948"/>
      <c r="J9" s="948"/>
      <c r="K9" s="938"/>
      <c r="L9" s="943"/>
      <c r="M9" s="941" t="s">
        <v>295</v>
      </c>
      <c r="N9" s="941" t="s">
        <v>554</v>
      </c>
      <c r="O9" s="948"/>
      <c r="P9" s="938"/>
      <c r="Q9" s="938"/>
      <c r="R9" s="941"/>
      <c r="S9" s="941" t="s">
        <v>60</v>
      </c>
      <c r="T9" s="909" t="s">
        <v>701</v>
      </c>
      <c r="U9" s="938"/>
    </row>
    <row r="10" spans="1:21" ht="15.75">
      <c r="A10" s="938"/>
      <c r="B10" s="938"/>
      <c r="C10" s="938"/>
      <c r="D10" s="938"/>
      <c r="E10" s="948"/>
      <c r="F10" s="948"/>
      <c r="G10" s="950"/>
      <c r="H10" s="948"/>
      <c r="I10" s="948"/>
      <c r="J10" s="948"/>
      <c r="K10" s="938"/>
      <c r="L10" s="943"/>
      <c r="M10" s="941"/>
      <c r="N10" s="941"/>
      <c r="O10" s="948"/>
      <c r="P10" s="938"/>
      <c r="Q10" s="938"/>
      <c r="R10" s="941"/>
      <c r="S10" s="941"/>
      <c r="T10" s="909"/>
      <c r="U10" s="938"/>
    </row>
    <row r="11" spans="1:21" ht="84.75" customHeight="1">
      <c r="A11" s="939"/>
      <c r="B11" s="939"/>
      <c r="C11" s="939"/>
      <c r="D11" s="939"/>
      <c r="E11" s="948"/>
      <c r="F11" s="948"/>
      <c r="G11" s="951"/>
      <c r="H11" s="948"/>
      <c r="I11" s="948"/>
      <c r="J11" s="948"/>
      <c r="K11" s="939"/>
      <c r="L11" s="944"/>
      <c r="M11" s="941"/>
      <c r="N11" s="941"/>
      <c r="O11" s="948"/>
      <c r="P11" s="939"/>
      <c r="Q11" s="939"/>
      <c r="R11" s="941"/>
      <c r="S11" s="941"/>
      <c r="T11" s="909"/>
      <c r="U11" s="939"/>
    </row>
    <row r="12" spans="1:21" s="56" customFormat="1" ht="23.25" customHeight="1">
      <c r="A12" s="225">
        <v>1</v>
      </c>
      <c r="B12" s="225">
        <v>2</v>
      </c>
      <c r="C12" s="225">
        <v>3</v>
      </c>
      <c r="D12" s="225">
        <v>4</v>
      </c>
      <c r="E12" s="225">
        <v>5</v>
      </c>
      <c r="F12" s="226">
        <v>6</v>
      </c>
      <c r="G12" s="227">
        <v>7</v>
      </c>
      <c r="H12" s="226">
        <v>8</v>
      </c>
      <c r="I12" s="226" t="s">
        <v>491</v>
      </c>
      <c r="J12" s="226" t="s">
        <v>669</v>
      </c>
      <c r="K12" s="226" t="s">
        <v>492</v>
      </c>
      <c r="L12" s="226" t="s">
        <v>493</v>
      </c>
      <c r="M12" s="226">
        <v>13</v>
      </c>
      <c r="N12" s="226">
        <v>14</v>
      </c>
      <c r="O12" s="226" t="s">
        <v>778</v>
      </c>
      <c r="P12" s="226" t="s">
        <v>780</v>
      </c>
      <c r="Q12" s="35"/>
      <c r="R12" s="226">
        <v>16</v>
      </c>
      <c r="S12" s="226">
        <v>17</v>
      </c>
      <c r="T12" s="226">
        <v>18</v>
      </c>
      <c r="U12" s="226" t="s">
        <v>700</v>
      </c>
    </row>
    <row r="13" spans="1:22" ht="22.5" customHeight="1">
      <c r="A13" s="953" t="s">
        <v>297</v>
      </c>
      <c r="B13" s="953"/>
      <c r="C13" s="45">
        <f>C14+C63+C68+C70+C76</f>
        <v>1605</v>
      </c>
      <c r="D13" s="45">
        <f aca="true" t="shared" si="0" ref="D13:U13">D14+D63+D68+D70+D76</f>
        <v>1431</v>
      </c>
      <c r="E13" s="45">
        <f t="shared" si="0"/>
        <v>179539.96000000002</v>
      </c>
      <c r="F13" s="45">
        <f t="shared" si="0"/>
        <v>57345</v>
      </c>
      <c r="G13" s="45">
        <f t="shared" si="0"/>
        <v>0</v>
      </c>
      <c r="H13" s="45">
        <f t="shared" si="0"/>
        <v>3909</v>
      </c>
      <c r="I13" s="45">
        <f t="shared" si="0"/>
        <v>257018</v>
      </c>
      <c r="J13" s="45">
        <f t="shared" si="0"/>
        <v>7198.6039999999975</v>
      </c>
      <c r="K13" s="45">
        <f t="shared" si="0"/>
        <v>249819.39599999998</v>
      </c>
      <c r="L13" s="45">
        <f t="shared" si="0"/>
        <v>10125</v>
      </c>
      <c r="M13" s="45">
        <f t="shared" si="0"/>
        <v>6075.000000000001</v>
      </c>
      <c r="N13" s="45">
        <f t="shared" si="0"/>
        <v>4050.0000000000005</v>
      </c>
      <c r="O13" s="45">
        <f t="shared" si="0"/>
        <v>607.5</v>
      </c>
      <c r="P13" s="45">
        <f t="shared" si="0"/>
        <v>243136.89599999998</v>
      </c>
      <c r="Q13" s="45"/>
      <c r="R13" s="45">
        <f t="shared" si="0"/>
        <v>244.8</v>
      </c>
      <c r="S13" s="45">
        <f t="shared" si="0"/>
        <v>147</v>
      </c>
      <c r="T13" s="45">
        <f t="shared" si="0"/>
        <v>97.8</v>
      </c>
      <c r="U13" s="45">
        <f t="shared" si="0"/>
        <v>242989.89599999998</v>
      </c>
      <c r="V13" s="65"/>
    </row>
    <row r="14" spans="1:21" ht="27.75" customHeight="1">
      <c r="A14" s="228" t="s">
        <v>268</v>
      </c>
      <c r="B14" s="229" t="s">
        <v>585</v>
      </c>
      <c r="C14" s="45">
        <f>C15+C33+C52</f>
        <v>1586</v>
      </c>
      <c r="D14" s="45">
        <f aca="true" t="shared" si="1" ref="D14:U14">D15+D33+D52</f>
        <v>1413</v>
      </c>
      <c r="E14" s="45">
        <f t="shared" si="1"/>
        <v>177463.96000000002</v>
      </c>
      <c r="F14" s="45">
        <f t="shared" si="1"/>
        <v>52992</v>
      </c>
      <c r="G14" s="45">
        <f t="shared" si="1"/>
        <v>0</v>
      </c>
      <c r="H14" s="45">
        <f t="shared" si="1"/>
        <v>3909</v>
      </c>
      <c r="I14" s="45">
        <f t="shared" si="1"/>
        <v>234364.96000000002</v>
      </c>
      <c r="J14" s="45">
        <f t="shared" si="1"/>
        <v>5299.2</v>
      </c>
      <c r="K14" s="45">
        <f t="shared" si="1"/>
        <v>229065.76</v>
      </c>
      <c r="L14" s="45">
        <f t="shared" si="1"/>
        <v>9909</v>
      </c>
      <c r="M14" s="45">
        <f t="shared" si="1"/>
        <v>5945.400000000001</v>
      </c>
      <c r="N14" s="45">
        <f t="shared" si="1"/>
        <v>3963.6000000000004</v>
      </c>
      <c r="O14" s="45">
        <f t="shared" si="1"/>
        <v>594.54</v>
      </c>
      <c r="P14" s="45">
        <f t="shared" si="1"/>
        <v>222525.82</v>
      </c>
      <c r="Q14" s="45"/>
      <c r="R14" s="45">
        <f t="shared" si="1"/>
        <v>140</v>
      </c>
      <c r="S14" s="45">
        <f t="shared" si="1"/>
        <v>84</v>
      </c>
      <c r="T14" s="45">
        <f t="shared" si="1"/>
        <v>56</v>
      </c>
      <c r="U14" s="45">
        <f t="shared" si="1"/>
        <v>222441.82</v>
      </c>
    </row>
    <row r="15" spans="1:21" s="21" customFormat="1" ht="15.75">
      <c r="A15" s="228" t="s">
        <v>282</v>
      </c>
      <c r="B15" s="229" t="s">
        <v>217</v>
      </c>
      <c r="C15" s="249">
        <f>SUM(C16:C32)</f>
        <v>451</v>
      </c>
      <c r="D15" s="249">
        <f aca="true" t="shared" si="2" ref="D15:U15">SUM(D16:D32)</f>
        <v>383</v>
      </c>
      <c r="E15" s="45">
        <f t="shared" si="2"/>
        <v>41367.86</v>
      </c>
      <c r="F15" s="45">
        <f t="shared" si="2"/>
        <v>18942</v>
      </c>
      <c r="G15" s="57">
        <f t="shared" si="2"/>
        <v>0</v>
      </c>
      <c r="H15" s="45">
        <f t="shared" si="2"/>
        <v>33</v>
      </c>
      <c r="I15" s="45">
        <f t="shared" si="2"/>
        <v>60342.86000000001</v>
      </c>
      <c r="J15" s="45">
        <f t="shared" si="2"/>
        <v>1894.2</v>
      </c>
      <c r="K15" s="45">
        <f t="shared" si="2"/>
        <v>58448.66</v>
      </c>
      <c r="L15" s="45">
        <f t="shared" si="2"/>
        <v>4839</v>
      </c>
      <c r="M15" s="45">
        <f t="shared" si="2"/>
        <v>2903.4000000000005</v>
      </c>
      <c r="N15" s="45">
        <f t="shared" si="2"/>
        <v>1935.6000000000004</v>
      </c>
      <c r="O15" s="45">
        <f t="shared" si="2"/>
        <v>290.34000000000003</v>
      </c>
      <c r="P15" s="45">
        <f t="shared" si="2"/>
        <v>55254.92</v>
      </c>
      <c r="Q15" s="247"/>
      <c r="R15" s="45">
        <f t="shared" si="2"/>
        <v>0</v>
      </c>
      <c r="S15" s="45">
        <f t="shared" si="2"/>
        <v>0</v>
      </c>
      <c r="T15" s="45">
        <f t="shared" si="2"/>
        <v>0</v>
      </c>
      <c r="U15" s="250">
        <f t="shared" si="2"/>
        <v>55254.92</v>
      </c>
    </row>
    <row r="16" spans="1:21" ht="15.75">
      <c r="A16" s="225">
        <v>1</v>
      </c>
      <c r="B16" s="256" t="s">
        <v>218</v>
      </c>
      <c r="C16" s="257">
        <v>16</v>
      </c>
      <c r="D16" s="258">
        <v>14</v>
      </c>
      <c r="E16" s="732">
        <v>1464.74</v>
      </c>
      <c r="F16" s="233">
        <f aca="true" t="shared" si="3" ref="F16:F32">Q16*C16</f>
        <v>672</v>
      </c>
      <c r="G16" s="234"/>
      <c r="H16" s="233"/>
      <c r="I16" s="233">
        <f aca="true" t="shared" si="4" ref="I16:I32">E16+F16+G16+H16</f>
        <v>2136.74</v>
      </c>
      <c r="J16" s="233">
        <f aca="true" t="shared" si="5" ref="J16:J32">F16*10%</f>
        <v>67.2</v>
      </c>
      <c r="K16" s="233">
        <f>I16-J16</f>
        <v>2069.54</v>
      </c>
      <c r="L16" s="233">
        <f>M16+N16</f>
        <v>216</v>
      </c>
      <c r="M16" s="259">
        <f>'thu HP'!H14</f>
        <v>129.6</v>
      </c>
      <c r="N16" s="259">
        <f>'thu HP'!I14</f>
        <v>86.4</v>
      </c>
      <c r="O16" s="259">
        <f>M16*10%</f>
        <v>12.96</v>
      </c>
      <c r="P16" s="233">
        <f>K16-M16-O16</f>
        <v>1926.98</v>
      </c>
      <c r="Q16" s="235">
        <v>42</v>
      </c>
      <c r="R16" s="235">
        <f aca="true" t="shared" si="6" ref="R16:R32">S16+T16</f>
        <v>0</v>
      </c>
      <c r="S16" s="233"/>
      <c r="T16" s="236"/>
      <c r="U16" s="237">
        <f aca="true" t="shared" si="7" ref="U16:U32">P16+S16</f>
        <v>1926.98</v>
      </c>
    </row>
    <row r="17" spans="1:21" ht="15.75">
      <c r="A17" s="238">
        <v>2</v>
      </c>
      <c r="B17" s="730" t="s">
        <v>219</v>
      </c>
      <c r="C17" s="261">
        <v>30</v>
      </c>
      <c r="D17" s="258">
        <v>29</v>
      </c>
      <c r="E17" s="732">
        <v>3433.18</v>
      </c>
      <c r="F17" s="233">
        <f t="shared" si="3"/>
        <v>1260</v>
      </c>
      <c r="G17" s="234"/>
      <c r="H17" s="233"/>
      <c r="I17" s="233">
        <f t="shared" si="4"/>
        <v>4693.18</v>
      </c>
      <c r="J17" s="233">
        <f t="shared" si="5"/>
        <v>126</v>
      </c>
      <c r="K17" s="233">
        <f aca="true" t="shared" si="8" ref="K17:K62">I17-J17</f>
        <v>4567.18</v>
      </c>
      <c r="L17" s="233">
        <f aca="true" t="shared" si="9" ref="L17:L62">M17+N17</f>
        <v>356</v>
      </c>
      <c r="M17" s="259">
        <f>'thu HP'!H15</f>
        <v>213.6</v>
      </c>
      <c r="N17" s="259">
        <f>'thu HP'!I15</f>
        <v>142.4</v>
      </c>
      <c r="O17" s="259">
        <f aca="true" t="shared" si="10" ref="O17:O76">M17*10%</f>
        <v>21.36</v>
      </c>
      <c r="P17" s="233">
        <f aca="true" t="shared" si="11" ref="P17:P76">K17-M17-O17</f>
        <v>4332.22</v>
      </c>
      <c r="Q17" s="235">
        <v>42</v>
      </c>
      <c r="R17" s="235">
        <f t="shared" si="6"/>
        <v>0</v>
      </c>
      <c r="S17" s="233"/>
      <c r="T17" s="236"/>
      <c r="U17" s="237">
        <f t="shared" si="7"/>
        <v>4332.22</v>
      </c>
    </row>
    <row r="18" spans="1:21" ht="15.75">
      <c r="A18" s="225">
        <v>3</v>
      </c>
      <c r="B18" s="730" t="s">
        <v>708</v>
      </c>
      <c r="C18" s="261">
        <v>30</v>
      </c>
      <c r="D18" s="258">
        <v>17</v>
      </c>
      <c r="E18" s="732">
        <v>1932.64</v>
      </c>
      <c r="F18" s="233">
        <f t="shared" si="3"/>
        <v>1260</v>
      </c>
      <c r="G18" s="234"/>
      <c r="H18" s="233"/>
      <c r="I18" s="233">
        <f t="shared" si="4"/>
        <v>3192.6400000000003</v>
      </c>
      <c r="J18" s="233">
        <f t="shared" si="5"/>
        <v>126</v>
      </c>
      <c r="K18" s="233">
        <f>I18-J18</f>
        <v>3066.6400000000003</v>
      </c>
      <c r="L18" s="233">
        <f t="shared" si="9"/>
        <v>78</v>
      </c>
      <c r="M18" s="259">
        <f>'thu HP'!H16</f>
        <v>46.8</v>
      </c>
      <c r="N18" s="259">
        <f>'thu HP'!I16</f>
        <v>31.200000000000003</v>
      </c>
      <c r="O18" s="259">
        <f t="shared" si="10"/>
        <v>4.68</v>
      </c>
      <c r="P18" s="233">
        <f t="shared" si="11"/>
        <v>3015.1600000000003</v>
      </c>
      <c r="Q18" s="235">
        <v>42</v>
      </c>
      <c r="R18" s="235">
        <f t="shared" si="6"/>
        <v>0</v>
      </c>
      <c r="S18" s="233"/>
      <c r="T18" s="236"/>
      <c r="U18" s="237">
        <f t="shared" si="7"/>
        <v>3015.1600000000003</v>
      </c>
    </row>
    <row r="19" spans="1:21" ht="15.75">
      <c r="A19" s="238">
        <v>4</v>
      </c>
      <c r="B19" s="731" t="s">
        <v>709</v>
      </c>
      <c r="C19" s="261">
        <v>18</v>
      </c>
      <c r="D19" s="258">
        <v>17</v>
      </c>
      <c r="E19" s="732">
        <v>1869.77</v>
      </c>
      <c r="F19" s="233">
        <f t="shared" si="3"/>
        <v>756</v>
      </c>
      <c r="G19" s="234"/>
      <c r="H19" s="233"/>
      <c r="I19" s="233">
        <f t="shared" si="4"/>
        <v>2625.77</v>
      </c>
      <c r="J19" s="233">
        <f t="shared" si="5"/>
        <v>75.60000000000001</v>
      </c>
      <c r="K19" s="233">
        <f t="shared" si="8"/>
        <v>2550.17</v>
      </c>
      <c r="L19" s="233">
        <f t="shared" si="9"/>
        <v>45</v>
      </c>
      <c r="M19" s="259">
        <f>'thu HP'!H17</f>
        <v>27</v>
      </c>
      <c r="N19" s="259">
        <f>'thu HP'!I17</f>
        <v>18</v>
      </c>
      <c r="O19" s="259">
        <f t="shared" si="10"/>
        <v>2.7</v>
      </c>
      <c r="P19" s="233">
        <f t="shared" si="11"/>
        <v>2520.4700000000003</v>
      </c>
      <c r="Q19" s="235">
        <v>42</v>
      </c>
      <c r="R19" s="235">
        <f t="shared" si="6"/>
        <v>0</v>
      </c>
      <c r="S19" s="233"/>
      <c r="T19" s="236"/>
      <c r="U19" s="237">
        <f t="shared" si="7"/>
        <v>2520.4700000000003</v>
      </c>
    </row>
    <row r="20" spans="1:21" ht="15.75">
      <c r="A20" s="225">
        <v>5</v>
      </c>
      <c r="B20" s="730" t="s">
        <v>710</v>
      </c>
      <c r="C20" s="261">
        <v>29</v>
      </c>
      <c r="D20" s="258">
        <v>26</v>
      </c>
      <c r="E20" s="732">
        <v>2819.59</v>
      </c>
      <c r="F20" s="233">
        <f t="shared" si="3"/>
        <v>1218</v>
      </c>
      <c r="G20" s="234"/>
      <c r="H20" s="233"/>
      <c r="I20" s="233">
        <f t="shared" si="4"/>
        <v>4037.59</v>
      </c>
      <c r="J20" s="233">
        <f t="shared" si="5"/>
        <v>121.80000000000001</v>
      </c>
      <c r="K20" s="233">
        <f t="shared" si="8"/>
        <v>3915.79</v>
      </c>
      <c r="L20" s="233">
        <f t="shared" si="9"/>
        <v>464</v>
      </c>
      <c r="M20" s="259">
        <f>'thu HP'!H18</f>
        <v>278.4</v>
      </c>
      <c r="N20" s="259">
        <f>'thu HP'!I18</f>
        <v>185.60000000000002</v>
      </c>
      <c r="O20" s="259">
        <f t="shared" si="10"/>
        <v>27.84</v>
      </c>
      <c r="P20" s="233">
        <f t="shared" si="11"/>
        <v>3609.5499999999997</v>
      </c>
      <c r="Q20" s="235">
        <v>42</v>
      </c>
      <c r="R20" s="235">
        <f t="shared" si="6"/>
        <v>0</v>
      </c>
      <c r="S20" s="233"/>
      <c r="T20" s="236"/>
      <c r="U20" s="237">
        <f t="shared" si="7"/>
        <v>3609.5499999999997</v>
      </c>
    </row>
    <row r="21" spans="1:21" ht="15.75">
      <c r="A21" s="238">
        <v>6</v>
      </c>
      <c r="B21" s="730" t="s">
        <v>711</v>
      </c>
      <c r="C21" s="261">
        <v>16</v>
      </c>
      <c r="D21" s="258">
        <v>12</v>
      </c>
      <c r="E21" s="732">
        <v>1188.01</v>
      </c>
      <c r="F21" s="233">
        <f t="shared" si="3"/>
        <v>672</v>
      </c>
      <c r="G21" s="234"/>
      <c r="H21" s="233"/>
      <c r="I21" s="233">
        <f t="shared" si="4"/>
        <v>1860.01</v>
      </c>
      <c r="J21" s="233">
        <f t="shared" si="5"/>
        <v>67.2</v>
      </c>
      <c r="K21" s="233">
        <f t="shared" si="8"/>
        <v>1792.81</v>
      </c>
      <c r="L21" s="233">
        <f t="shared" si="9"/>
        <v>205</v>
      </c>
      <c r="M21" s="259">
        <f>'thu HP'!H19</f>
        <v>123</v>
      </c>
      <c r="N21" s="259">
        <f>'thu HP'!I19</f>
        <v>82</v>
      </c>
      <c r="O21" s="259">
        <f t="shared" si="10"/>
        <v>12.3</v>
      </c>
      <c r="P21" s="233">
        <f t="shared" si="11"/>
        <v>1657.51</v>
      </c>
      <c r="Q21" s="235">
        <v>42</v>
      </c>
      <c r="R21" s="235">
        <f t="shared" si="6"/>
        <v>0</v>
      </c>
      <c r="S21" s="233"/>
      <c r="T21" s="236"/>
      <c r="U21" s="237">
        <f t="shared" si="7"/>
        <v>1657.51</v>
      </c>
    </row>
    <row r="22" spans="1:21" ht="15.75">
      <c r="A22" s="225">
        <v>7</v>
      </c>
      <c r="B22" s="730" t="s">
        <v>718</v>
      </c>
      <c r="C22" s="261">
        <v>34</v>
      </c>
      <c r="D22" s="258">
        <v>26</v>
      </c>
      <c r="E22" s="732">
        <v>2525.77</v>
      </c>
      <c r="F22" s="233">
        <f t="shared" si="3"/>
        <v>1428</v>
      </c>
      <c r="G22" s="234"/>
      <c r="H22" s="233"/>
      <c r="I22" s="233">
        <f t="shared" si="4"/>
        <v>3953.77</v>
      </c>
      <c r="J22" s="233">
        <f t="shared" si="5"/>
        <v>142.8</v>
      </c>
      <c r="K22" s="233">
        <f t="shared" si="8"/>
        <v>3810.97</v>
      </c>
      <c r="L22" s="233">
        <f t="shared" si="9"/>
        <v>90</v>
      </c>
      <c r="M22" s="259">
        <f>'thu HP'!H20</f>
        <v>54</v>
      </c>
      <c r="N22" s="259">
        <f>'thu HP'!I20</f>
        <v>36</v>
      </c>
      <c r="O22" s="259">
        <f t="shared" si="10"/>
        <v>5.4</v>
      </c>
      <c r="P22" s="233">
        <f t="shared" si="11"/>
        <v>3751.5699999999997</v>
      </c>
      <c r="Q22" s="235">
        <v>42</v>
      </c>
      <c r="R22" s="235">
        <f t="shared" si="6"/>
        <v>0</v>
      </c>
      <c r="S22" s="233"/>
      <c r="T22" s="236"/>
      <c r="U22" s="237">
        <f t="shared" si="7"/>
        <v>3751.5699999999997</v>
      </c>
    </row>
    <row r="23" spans="1:21" ht="15.75">
      <c r="A23" s="238">
        <v>8</v>
      </c>
      <c r="B23" s="730" t="s">
        <v>712</v>
      </c>
      <c r="C23" s="261">
        <v>23</v>
      </c>
      <c r="D23" s="258">
        <v>22</v>
      </c>
      <c r="E23" s="732">
        <v>1998.06</v>
      </c>
      <c r="F23" s="233">
        <f t="shared" si="3"/>
        <v>966</v>
      </c>
      <c r="G23" s="234"/>
      <c r="H23" s="233"/>
      <c r="I23" s="233">
        <f t="shared" si="4"/>
        <v>2964.06</v>
      </c>
      <c r="J23" s="233">
        <f t="shared" si="5"/>
        <v>96.60000000000001</v>
      </c>
      <c r="K23" s="233">
        <f t="shared" si="8"/>
        <v>2867.46</v>
      </c>
      <c r="L23" s="233">
        <f t="shared" si="9"/>
        <v>297</v>
      </c>
      <c r="M23" s="259">
        <f>'thu HP'!H21</f>
        <v>178.2</v>
      </c>
      <c r="N23" s="259">
        <f>'thu HP'!I21</f>
        <v>118.80000000000001</v>
      </c>
      <c r="O23" s="259">
        <f t="shared" si="10"/>
        <v>17.82</v>
      </c>
      <c r="P23" s="233">
        <f t="shared" si="11"/>
        <v>2671.44</v>
      </c>
      <c r="Q23" s="235">
        <v>42</v>
      </c>
      <c r="R23" s="235">
        <f t="shared" si="6"/>
        <v>0</v>
      </c>
      <c r="S23" s="233"/>
      <c r="T23" s="236"/>
      <c r="U23" s="237">
        <f t="shared" si="7"/>
        <v>2671.44</v>
      </c>
    </row>
    <row r="24" spans="1:21" ht="15.75">
      <c r="A24" s="225">
        <v>9</v>
      </c>
      <c r="B24" s="730" t="s">
        <v>717</v>
      </c>
      <c r="C24" s="261">
        <v>41</v>
      </c>
      <c r="D24" s="258">
        <v>35</v>
      </c>
      <c r="E24" s="732">
        <v>3798.12</v>
      </c>
      <c r="F24" s="233">
        <f t="shared" si="3"/>
        <v>1722</v>
      </c>
      <c r="G24" s="234"/>
      <c r="H24" s="233"/>
      <c r="I24" s="233">
        <f t="shared" si="4"/>
        <v>5520.12</v>
      </c>
      <c r="J24" s="233">
        <f t="shared" si="5"/>
        <v>172.20000000000002</v>
      </c>
      <c r="K24" s="233">
        <f t="shared" si="8"/>
        <v>5347.92</v>
      </c>
      <c r="L24" s="233">
        <f t="shared" si="9"/>
        <v>529</v>
      </c>
      <c r="M24" s="259">
        <f>'thu HP'!H22</f>
        <v>317.4</v>
      </c>
      <c r="N24" s="259">
        <f>'thu HP'!I22</f>
        <v>211.60000000000002</v>
      </c>
      <c r="O24" s="259">
        <f t="shared" si="10"/>
        <v>31.74</v>
      </c>
      <c r="P24" s="233">
        <f t="shared" si="11"/>
        <v>4998.780000000001</v>
      </c>
      <c r="Q24" s="235">
        <v>42</v>
      </c>
      <c r="R24" s="235">
        <f t="shared" si="6"/>
        <v>0</v>
      </c>
      <c r="S24" s="233"/>
      <c r="T24" s="236"/>
      <c r="U24" s="237">
        <f t="shared" si="7"/>
        <v>4998.780000000001</v>
      </c>
    </row>
    <row r="25" spans="1:21" ht="15.75">
      <c r="A25" s="238">
        <v>10</v>
      </c>
      <c r="B25" s="730" t="s">
        <v>716</v>
      </c>
      <c r="C25" s="261">
        <v>29</v>
      </c>
      <c r="D25" s="258">
        <v>28</v>
      </c>
      <c r="E25" s="732">
        <v>2945.23</v>
      </c>
      <c r="F25" s="233">
        <f t="shared" si="3"/>
        <v>1218</v>
      </c>
      <c r="G25" s="234"/>
      <c r="H25" s="233"/>
      <c r="I25" s="233">
        <f t="shared" si="4"/>
        <v>4163.23</v>
      </c>
      <c r="J25" s="233">
        <f t="shared" si="5"/>
        <v>121.80000000000001</v>
      </c>
      <c r="K25" s="233">
        <f t="shared" si="8"/>
        <v>4041.4299999999994</v>
      </c>
      <c r="L25" s="233">
        <f t="shared" si="9"/>
        <v>319</v>
      </c>
      <c r="M25" s="259">
        <f>'thu HP'!H23</f>
        <v>191.4</v>
      </c>
      <c r="N25" s="259">
        <f>'thu HP'!I23</f>
        <v>127.6</v>
      </c>
      <c r="O25" s="259">
        <f t="shared" si="10"/>
        <v>19.14</v>
      </c>
      <c r="P25" s="233">
        <f t="shared" si="11"/>
        <v>3830.8899999999994</v>
      </c>
      <c r="Q25" s="235">
        <v>42</v>
      </c>
      <c r="R25" s="235">
        <f t="shared" si="6"/>
        <v>0</v>
      </c>
      <c r="S25" s="233"/>
      <c r="T25" s="236"/>
      <c r="U25" s="237">
        <f t="shared" si="7"/>
        <v>3830.8899999999994</v>
      </c>
    </row>
    <row r="26" spans="1:21" ht="15.75">
      <c r="A26" s="225">
        <v>11</v>
      </c>
      <c r="B26" s="730" t="s">
        <v>715</v>
      </c>
      <c r="C26" s="261">
        <v>25</v>
      </c>
      <c r="D26" s="258">
        <v>23</v>
      </c>
      <c r="E26" s="732">
        <v>2418.54</v>
      </c>
      <c r="F26" s="233">
        <f t="shared" si="3"/>
        <v>1050</v>
      </c>
      <c r="G26" s="234"/>
      <c r="H26" s="233"/>
      <c r="I26" s="233">
        <f t="shared" si="4"/>
        <v>3468.54</v>
      </c>
      <c r="J26" s="233">
        <f t="shared" si="5"/>
        <v>105</v>
      </c>
      <c r="K26" s="233">
        <f t="shared" si="8"/>
        <v>3363.54</v>
      </c>
      <c r="L26" s="233">
        <f t="shared" si="9"/>
        <v>356</v>
      </c>
      <c r="M26" s="259">
        <f>'thu HP'!H24</f>
        <v>213.6</v>
      </c>
      <c r="N26" s="259">
        <f>'thu HP'!I24</f>
        <v>142.4</v>
      </c>
      <c r="O26" s="259">
        <f t="shared" si="10"/>
        <v>21.36</v>
      </c>
      <c r="P26" s="233">
        <f t="shared" si="11"/>
        <v>3128.58</v>
      </c>
      <c r="Q26" s="235">
        <v>42</v>
      </c>
      <c r="R26" s="235">
        <f t="shared" si="6"/>
        <v>0</v>
      </c>
      <c r="S26" s="233"/>
      <c r="T26" s="236"/>
      <c r="U26" s="237">
        <f t="shared" si="7"/>
        <v>3128.58</v>
      </c>
    </row>
    <row r="27" spans="1:21" ht="15.75">
      <c r="A27" s="238">
        <v>12</v>
      </c>
      <c r="B27" s="730" t="s">
        <v>220</v>
      </c>
      <c r="C27" s="261">
        <v>33</v>
      </c>
      <c r="D27" s="258">
        <v>31</v>
      </c>
      <c r="E27" s="732">
        <v>3547.05</v>
      </c>
      <c r="F27" s="233">
        <f t="shared" si="3"/>
        <v>1386</v>
      </c>
      <c r="G27" s="234"/>
      <c r="H27" s="233"/>
      <c r="I27" s="233">
        <f t="shared" si="4"/>
        <v>4933.05</v>
      </c>
      <c r="J27" s="233">
        <f t="shared" si="5"/>
        <v>138.6</v>
      </c>
      <c r="K27" s="233">
        <f t="shared" si="8"/>
        <v>4794.45</v>
      </c>
      <c r="L27" s="233">
        <f t="shared" si="9"/>
        <v>454</v>
      </c>
      <c r="M27" s="259">
        <f>'thu HP'!H25</f>
        <v>272.4</v>
      </c>
      <c r="N27" s="259">
        <f>'thu HP'!I25</f>
        <v>181.60000000000002</v>
      </c>
      <c r="O27" s="259">
        <f t="shared" si="10"/>
        <v>27.24</v>
      </c>
      <c r="P27" s="233">
        <f t="shared" si="11"/>
        <v>4494.81</v>
      </c>
      <c r="Q27" s="235">
        <v>42</v>
      </c>
      <c r="R27" s="235">
        <f t="shared" si="6"/>
        <v>0</v>
      </c>
      <c r="S27" s="233"/>
      <c r="T27" s="236"/>
      <c r="U27" s="237">
        <f t="shared" si="7"/>
        <v>4494.81</v>
      </c>
    </row>
    <row r="28" spans="1:21" ht="15.75">
      <c r="A28" s="225">
        <v>13</v>
      </c>
      <c r="B28" s="730" t="s">
        <v>221</v>
      </c>
      <c r="C28" s="261">
        <v>18</v>
      </c>
      <c r="D28" s="258">
        <v>13</v>
      </c>
      <c r="E28" s="732">
        <v>1432.44</v>
      </c>
      <c r="F28" s="233">
        <f t="shared" si="3"/>
        <v>756</v>
      </c>
      <c r="G28" s="234"/>
      <c r="H28" s="233"/>
      <c r="I28" s="233">
        <f t="shared" si="4"/>
        <v>2188.44</v>
      </c>
      <c r="J28" s="233">
        <f t="shared" si="5"/>
        <v>75.60000000000001</v>
      </c>
      <c r="K28" s="233">
        <f t="shared" si="8"/>
        <v>2112.84</v>
      </c>
      <c r="L28" s="233">
        <f t="shared" si="9"/>
        <v>213</v>
      </c>
      <c r="M28" s="259">
        <f>'thu HP'!H26</f>
        <v>127.8</v>
      </c>
      <c r="N28" s="259">
        <f>'thu HP'!I26</f>
        <v>85.2</v>
      </c>
      <c r="O28" s="259">
        <f t="shared" si="10"/>
        <v>12.780000000000001</v>
      </c>
      <c r="P28" s="233">
        <f t="shared" si="11"/>
        <v>1972.2600000000002</v>
      </c>
      <c r="Q28" s="235">
        <v>42</v>
      </c>
      <c r="R28" s="235">
        <f t="shared" si="6"/>
        <v>0</v>
      </c>
      <c r="S28" s="233"/>
      <c r="T28" s="236"/>
      <c r="U28" s="237">
        <f t="shared" si="7"/>
        <v>1972.2600000000002</v>
      </c>
    </row>
    <row r="29" spans="1:21" ht="15.75">
      <c r="A29" s="238">
        <v>14</v>
      </c>
      <c r="B29" s="730" t="s">
        <v>222</v>
      </c>
      <c r="C29" s="261">
        <v>39</v>
      </c>
      <c r="D29" s="258">
        <v>31</v>
      </c>
      <c r="E29" s="732">
        <v>3938.08</v>
      </c>
      <c r="F29" s="233">
        <f t="shared" si="3"/>
        <v>1638</v>
      </c>
      <c r="G29" s="234"/>
      <c r="H29" s="233"/>
      <c r="I29" s="233">
        <f t="shared" si="4"/>
        <v>5576.08</v>
      </c>
      <c r="J29" s="233">
        <f t="shared" si="5"/>
        <v>163.8</v>
      </c>
      <c r="K29" s="233">
        <f t="shared" si="8"/>
        <v>5412.28</v>
      </c>
      <c r="L29" s="233">
        <f t="shared" si="9"/>
        <v>488</v>
      </c>
      <c r="M29" s="259">
        <f>'thu HP'!H27</f>
        <v>292.8</v>
      </c>
      <c r="N29" s="259">
        <f>'thu HP'!I27</f>
        <v>195.2</v>
      </c>
      <c r="O29" s="259">
        <f t="shared" si="10"/>
        <v>29.28</v>
      </c>
      <c r="P29" s="233">
        <f t="shared" si="11"/>
        <v>5090.2</v>
      </c>
      <c r="Q29" s="235">
        <v>42</v>
      </c>
      <c r="R29" s="235">
        <f t="shared" si="6"/>
        <v>0</v>
      </c>
      <c r="S29" s="233"/>
      <c r="T29" s="236"/>
      <c r="U29" s="237">
        <f t="shared" si="7"/>
        <v>5090.2</v>
      </c>
    </row>
    <row r="30" spans="1:21" ht="15.75">
      <c r="A30" s="238">
        <v>16</v>
      </c>
      <c r="B30" s="730" t="s">
        <v>223</v>
      </c>
      <c r="C30" s="261">
        <v>23</v>
      </c>
      <c r="D30" s="258">
        <v>22</v>
      </c>
      <c r="E30" s="732">
        <v>2248.14</v>
      </c>
      <c r="F30" s="233">
        <f t="shared" si="3"/>
        <v>966</v>
      </c>
      <c r="G30" s="234"/>
      <c r="H30" s="233"/>
      <c r="I30" s="233">
        <f t="shared" si="4"/>
        <v>3214.14</v>
      </c>
      <c r="J30" s="233">
        <f t="shared" si="5"/>
        <v>96.60000000000001</v>
      </c>
      <c r="K30" s="233">
        <f t="shared" si="8"/>
        <v>3117.54</v>
      </c>
      <c r="L30" s="233">
        <f t="shared" si="9"/>
        <v>275</v>
      </c>
      <c r="M30" s="259">
        <f>'thu HP'!H28</f>
        <v>165</v>
      </c>
      <c r="N30" s="259">
        <f>'thu HP'!I28</f>
        <v>110</v>
      </c>
      <c r="O30" s="259">
        <f t="shared" si="10"/>
        <v>16.5</v>
      </c>
      <c r="P30" s="233">
        <f t="shared" si="11"/>
        <v>2936.04</v>
      </c>
      <c r="Q30" s="235">
        <v>42</v>
      </c>
      <c r="R30" s="235">
        <f t="shared" si="6"/>
        <v>0</v>
      </c>
      <c r="S30" s="233"/>
      <c r="T30" s="236"/>
      <c r="U30" s="237">
        <f t="shared" si="7"/>
        <v>2936.04</v>
      </c>
    </row>
    <row r="31" spans="1:21" ht="15.75">
      <c r="A31" s="225">
        <v>17</v>
      </c>
      <c r="B31" s="730" t="s">
        <v>714</v>
      </c>
      <c r="C31" s="261">
        <v>25</v>
      </c>
      <c r="D31" s="258">
        <v>21</v>
      </c>
      <c r="E31" s="732">
        <v>2344.35</v>
      </c>
      <c r="F31" s="233">
        <f t="shared" si="3"/>
        <v>1050</v>
      </c>
      <c r="G31" s="234"/>
      <c r="H31" s="233">
        <v>33</v>
      </c>
      <c r="I31" s="233">
        <f t="shared" si="4"/>
        <v>3427.35</v>
      </c>
      <c r="J31" s="233">
        <f t="shared" si="5"/>
        <v>105</v>
      </c>
      <c r="K31" s="233">
        <f t="shared" si="8"/>
        <v>3322.35</v>
      </c>
      <c r="L31" s="233">
        <f t="shared" si="9"/>
        <v>235</v>
      </c>
      <c r="M31" s="259">
        <f>'thu HP'!H29</f>
        <v>141</v>
      </c>
      <c r="N31" s="259">
        <f>'thu HP'!I29</f>
        <v>94</v>
      </c>
      <c r="O31" s="259">
        <f t="shared" si="10"/>
        <v>14.100000000000001</v>
      </c>
      <c r="P31" s="233">
        <f t="shared" si="11"/>
        <v>3167.25</v>
      </c>
      <c r="Q31" s="235">
        <v>42</v>
      </c>
      <c r="R31" s="235">
        <f t="shared" si="6"/>
        <v>0</v>
      </c>
      <c r="S31" s="233"/>
      <c r="T31" s="236"/>
      <c r="U31" s="237">
        <f t="shared" si="7"/>
        <v>3167.25</v>
      </c>
    </row>
    <row r="32" spans="1:21" ht="15.75">
      <c r="A32" s="238">
        <v>18</v>
      </c>
      <c r="B32" s="730" t="s">
        <v>713</v>
      </c>
      <c r="C32" s="261">
        <v>22</v>
      </c>
      <c r="D32" s="258">
        <v>16</v>
      </c>
      <c r="E32" s="732">
        <v>1464.15</v>
      </c>
      <c r="F32" s="233">
        <f t="shared" si="3"/>
        <v>924</v>
      </c>
      <c r="G32" s="234"/>
      <c r="H32" s="233"/>
      <c r="I32" s="233">
        <f t="shared" si="4"/>
        <v>2388.15</v>
      </c>
      <c r="J32" s="233">
        <f t="shared" si="5"/>
        <v>92.4</v>
      </c>
      <c r="K32" s="233">
        <f t="shared" si="8"/>
        <v>2295.75</v>
      </c>
      <c r="L32" s="233">
        <f t="shared" si="9"/>
        <v>219</v>
      </c>
      <c r="M32" s="259">
        <f>'thu HP'!H30</f>
        <v>131.4</v>
      </c>
      <c r="N32" s="259">
        <f>'thu HP'!I30</f>
        <v>87.6</v>
      </c>
      <c r="O32" s="259">
        <f t="shared" si="10"/>
        <v>13.14</v>
      </c>
      <c r="P32" s="233">
        <f t="shared" si="11"/>
        <v>2151.21</v>
      </c>
      <c r="Q32" s="235">
        <v>42</v>
      </c>
      <c r="R32" s="235">
        <f t="shared" si="6"/>
        <v>0</v>
      </c>
      <c r="S32" s="233"/>
      <c r="T32" s="236"/>
      <c r="U32" s="237">
        <f t="shared" si="7"/>
        <v>2151.21</v>
      </c>
    </row>
    <row r="33" spans="1:21" s="21" customFormat="1" ht="15.75">
      <c r="A33" s="156" t="s">
        <v>283</v>
      </c>
      <c r="B33" s="251" t="s">
        <v>298</v>
      </c>
      <c r="C33" s="239">
        <f aca="true" t="shared" si="12" ref="C33:U33">SUM(C34:C51)</f>
        <v>654</v>
      </c>
      <c r="D33" s="239">
        <f t="shared" si="12"/>
        <v>574</v>
      </c>
      <c r="E33" s="252">
        <f t="shared" si="12"/>
        <v>78413.44</v>
      </c>
      <c r="F33" s="252">
        <f t="shared" si="12"/>
        <v>19620</v>
      </c>
      <c r="G33" s="253">
        <f t="shared" si="12"/>
        <v>0</v>
      </c>
      <c r="H33" s="252">
        <f t="shared" si="12"/>
        <v>2390</v>
      </c>
      <c r="I33" s="252">
        <f t="shared" si="12"/>
        <v>100423.44</v>
      </c>
      <c r="J33" s="252">
        <f t="shared" si="12"/>
        <v>1962</v>
      </c>
      <c r="K33" s="252">
        <f t="shared" si="12"/>
        <v>98461.44</v>
      </c>
      <c r="L33" s="252">
        <f t="shared" si="12"/>
        <v>0</v>
      </c>
      <c r="M33" s="252">
        <f t="shared" si="12"/>
        <v>0</v>
      </c>
      <c r="N33" s="252">
        <f t="shared" si="12"/>
        <v>0</v>
      </c>
      <c r="O33" s="252">
        <f t="shared" si="12"/>
        <v>0</v>
      </c>
      <c r="P33" s="252">
        <f t="shared" si="12"/>
        <v>98461.44</v>
      </c>
      <c r="Q33" s="252"/>
      <c r="R33" s="252">
        <f t="shared" si="12"/>
        <v>0</v>
      </c>
      <c r="S33" s="252">
        <f t="shared" si="12"/>
        <v>0</v>
      </c>
      <c r="T33" s="252">
        <f t="shared" si="12"/>
        <v>0</v>
      </c>
      <c r="U33" s="252">
        <f t="shared" si="12"/>
        <v>98461.44</v>
      </c>
    </row>
    <row r="34" spans="1:21" ht="15.75">
      <c r="A34" s="238">
        <v>1</v>
      </c>
      <c r="B34" s="260" t="s">
        <v>781</v>
      </c>
      <c r="C34" s="261">
        <v>21</v>
      </c>
      <c r="D34" s="261">
        <v>15</v>
      </c>
      <c r="E34" s="732">
        <v>1880.23</v>
      </c>
      <c r="F34" s="233">
        <f aca="true" t="shared" si="13" ref="F34:F51">Q34*C34</f>
        <v>630</v>
      </c>
      <c r="G34" s="234"/>
      <c r="H34" s="734">
        <v>167</v>
      </c>
      <c r="I34" s="233">
        <f aca="true" t="shared" si="14" ref="I34:I51">E34+F34+G34+H34</f>
        <v>2677.23</v>
      </c>
      <c r="J34" s="233">
        <f>F34*10%</f>
        <v>63</v>
      </c>
      <c r="K34" s="233">
        <f t="shared" si="8"/>
        <v>2614.23</v>
      </c>
      <c r="L34" s="233">
        <f t="shared" si="9"/>
        <v>0</v>
      </c>
      <c r="M34" s="233"/>
      <c r="N34" s="233"/>
      <c r="O34" s="259">
        <f t="shared" si="10"/>
        <v>0</v>
      </c>
      <c r="P34" s="233">
        <f t="shared" si="11"/>
        <v>2614.23</v>
      </c>
      <c r="Q34" s="235">
        <v>30</v>
      </c>
      <c r="R34" s="235">
        <f aca="true" t="shared" si="15" ref="R34:R62">S34+T34</f>
        <v>0</v>
      </c>
      <c r="S34" s="233"/>
      <c r="T34" s="236"/>
      <c r="U34" s="237">
        <f aca="true" t="shared" si="16" ref="U34:U51">P34+S34</f>
        <v>2614.23</v>
      </c>
    </row>
    <row r="35" spans="1:21" ht="15.75">
      <c r="A35" s="238">
        <v>2</v>
      </c>
      <c r="B35" s="260" t="s">
        <v>782</v>
      </c>
      <c r="C35" s="261">
        <v>26</v>
      </c>
      <c r="D35" s="261">
        <v>23</v>
      </c>
      <c r="E35" s="732">
        <v>3086.96</v>
      </c>
      <c r="F35" s="233">
        <f t="shared" si="13"/>
        <v>780</v>
      </c>
      <c r="G35" s="234"/>
      <c r="H35" s="734">
        <v>212</v>
      </c>
      <c r="I35" s="233">
        <f t="shared" si="14"/>
        <v>4078.96</v>
      </c>
      <c r="J35" s="233">
        <f aca="true" t="shared" si="17" ref="J35:J51">F35*10%</f>
        <v>78</v>
      </c>
      <c r="K35" s="233">
        <f t="shared" si="8"/>
        <v>4000.96</v>
      </c>
      <c r="L35" s="233">
        <f t="shared" si="9"/>
        <v>0</v>
      </c>
      <c r="M35" s="233"/>
      <c r="N35" s="233"/>
      <c r="O35" s="259">
        <f t="shared" si="10"/>
        <v>0</v>
      </c>
      <c r="P35" s="233">
        <f t="shared" si="11"/>
        <v>4000.96</v>
      </c>
      <c r="Q35" s="235">
        <v>30</v>
      </c>
      <c r="R35" s="235">
        <f t="shared" si="15"/>
        <v>0</v>
      </c>
      <c r="S35" s="233"/>
      <c r="T35" s="236"/>
      <c r="U35" s="237">
        <f t="shared" si="16"/>
        <v>4000.96</v>
      </c>
    </row>
    <row r="36" spans="1:21" ht="15.75">
      <c r="A36" s="238">
        <v>3</v>
      </c>
      <c r="B36" s="260" t="s">
        <v>783</v>
      </c>
      <c r="C36" s="261">
        <v>50</v>
      </c>
      <c r="D36" s="261">
        <v>42</v>
      </c>
      <c r="E36" s="732">
        <v>6059.94</v>
      </c>
      <c r="F36" s="233">
        <f t="shared" si="13"/>
        <v>1500</v>
      </c>
      <c r="G36" s="234"/>
      <c r="H36" s="734">
        <v>155</v>
      </c>
      <c r="I36" s="233">
        <f t="shared" si="14"/>
        <v>7714.94</v>
      </c>
      <c r="J36" s="233">
        <f t="shared" si="17"/>
        <v>150</v>
      </c>
      <c r="K36" s="233">
        <f t="shared" si="8"/>
        <v>7564.94</v>
      </c>
      <c r="L36" s="233">
        <f t="shared" si="9"/>
        <v>0</v>
      </c>
      <c r="M36" s="233"/>
      <c r="N36" s="233"/>
      <c r="O36" s="259">
        <f t="shared" si="10"/>
        <v>0</v>
      </c>
      <c r="P36" s="233">
        <f t="shared" si="11"/>
        <v>7564.94</v>
      </c>
      <c r="Q36" s="235">
        <v>30</v>
      </c>
      <c r="R36" s="235">
        <f t="shared" si="15"/>
        <v>0</v>
      </c>
      <c r="S36" s="233"/>
      <c r="T36" s="236"/>
      <c r="U36" s="237">
        <f t="shared" si="16"/>
        <v>7564.94</v>
      </c>
    </row>
    <row r="37" spans="1:21" ht="15.75">
      <c r="A37" s="238">
        <v>4</v>
      </c>
      <c r="B37" s="260" t="s">
        <v>784</v>
      </c>
      <c r="C37" s="261">
        <v>52</v>
      </c>
      <c r="D37" s="261">
        <v>48</v>
      </c>
      <c r="E37" s="732">
        <v>6556.93</v>
      </c>
      <c r="F37" s="233">
        <f t="shared" si="13"/>
        <v>1560</v>
      </c>
      <c r="G37" s="234"/>
      <c r="H37" s="734">
        <v>134</v>
      </c>
      <c r="I37" s="233">
        <f t="shared" si="14"/>
        <v>8250.93</v>
      </c>
      <c r="J37" s="233">
        <f t="shared" si="17"/>
        <v>156</v>
      </c>
      <c r="K37" s="233">
        <f t="shared" si="8"/>
        <v>8094.93</v>
      </c>
      <c r="L37" s="233">
        <f t="shared" si="9"/>
        <v>0</v>
      </c>
      <c r="M37" s="233"/>
      <c r="N37" s="233"/>
      <c r="O37" s="259">
        <f t="shared" si="10"/>
        <v>0</v>
      </c>
      <c r="P37" s="233">
        <f t="shared" si="11"/>
        <v>8094.93</v>
      </c>
      <c r="Q37" s="235">
        <v>30</v>
      </c>
      <c r="R37" s="235">
        <f t="shared" si="15"/>
        <v>0</v>
      </c>
      <c r="S37" s="233"/>
      <c r="T37" s="236"/>
      <c r="U37" s="237">
        <f t="shared" si="16"/>
        <v>8094.93</v>
      </c>
    </row>
    <row r="38" spans="1:21" ht="15.75">
      <c r="A38" s="238">
        <v>5</v>
      </c>
      <c r="B38" s="260" t="s">
        <v>785</v>
      </c>
      <c r="C38" s="261">
        <v>34</v>
      </c>
      <c r="D38" s="261">
        <v>31</v>
      </c>
      <c r="E38" s="732">
        <v>4319.2</v>
      </c>
      <c r="F38" s="233">
        <f t="shared" si="13"/>
        <v>1020</v>
      </c>
      <c r="G38" s="234"/>
      <c r="H38" s="734">
        <v>193</v>
      </c>
      <c r="I38" s="233">
        <f t="shared" si="14"/>
        <v>5532.2</v>
      </c>
      <c r="J38" s="233">
        <f t="shared" si="17"/>
        <v>102</v>
      </c>
      <c r="K38" s="233">
        <f t="shared" si="8"/>
        <v>5430.2</v>
      </c>
      <c r="L38" s="233">
        <f t="shared" si="9"/>
        <v>0</v>
      </c>
      <c r="M38" s="233"/>
      <c r="N38" s="233"/>
      <c r="O38" s="259">
        <f t="shared" si="10"/>
        <v>0</v>
      </c>
      <c r="P38" s="233">
        <f t="shared" si="11"/>
        <v>5430.2</v>
      </c>
      <c r="Q38" s="235">
        <v>30</v>
      </c>
      <c r="R38" s="235">
        <f t="shared" si="15"/>
        <v>0</v>
      </c>
      <c r="S38" s="233"/>
      <c r="T38" s="236"/>
      <c r="U38" s="237">
        <f t="shared" si="16"/>
        <v>5430.2</v>
      </c>
    </row>
    <row r="39" spans="1:21" ht="15.75">
      <c r="A39" s="238">
        <v>6</v>
      </c>
      <c r="B39" s="260" t="s">
        <v>786</v>
      </c>
      <c r="C39" s="261">
        <v>48</v>
      </c>
      <c r="D39" s="261">
        <v>46</v>
      </c>
      <c r="E39" s="732">
        <v>6209.74</v>
      </c>
      <c r="F39" s="233">
        <f t="shared" si="13"/>
        <v>1440</v>
      </c>
      <c r="G39" s="234"/>
      <c r="H39" s="734">
        <v>37</v>
      </c>
      <c r="I39" s="233">
        <f t="shared" si="14"/>
        <v>7686.74</v>
      </c>
      <c r="J39" s="233">
        <f t="shared" si="17"/>
        <v>144</v>
      </c>
      <c r="K39" s="233">
        <f t="shared" si="8"/>
        <v>7542.74</v>
      </c>
      <c r="L39" s="233">
        <f t="shared" si="9"/>
        <v>0</v>
      </c>
      <c r="M39" s="233"/>
      <c r="N39" s="233"/>
      <c r="O39" s="259">
        <f t="shared" si="10"/>
        <v>0</v>
      </c>
      <c r="P39" s="233">
        <f t="shared" si="11"/>
        <v>7542.74</v>
      </c>
      <c r="Q39" s="235">
        <v>30</v>
      </c>
      <c r="R39" s="235">
        <f t="shared" si="15"/>
        <v>0</v>
      </c>
      <c r="S39" s="233"/>
      <c r="T39" s="236"/>
      <c r="U39" s="237">
        <f t="shared" si="16"/>
        <v>7542.74</v>
      </c>
    </row>
    <row r="40" spans="1:21" ht="15.75">
      <c r="A40" s="238">
        <v>7</v>
      </c>
      <c r="B40" s="260" t="s">
        <v>787</v>
      </c>
      <c r="C40" s="261">
        <v>20</v>
      </c>
      <c r="D40" s="261">
        <v>15</v>
      </c>
      <c r="E40" s="732">
        <v>1915.17</v>
      </c>
      <c r="F40" s="233">
        <f t="shared" si="13"/>
        <v>600</v>
      </c>
      <c r="G40" s="234"/>
      <c r="H40" s="734">
        <v>18</v>
      </c>
      <c r="I40" s="233">
        <f t="shared" si="14"/>
        <v>2533.17</v>
      </c>
      <c r="J40" s="233">
        <f t="shared" si="17"/>
        <v>60</v>
      </c>
      <c r="K40" s="233">
        <f t="shared" si="8"/>
        <v>2473.17</v>
      </c>
      <c r="L40" s="233">
        <f t="shared" si="9"/>
        <v>0</v>
      </c>
      <c r="M40" s="233"/>
      <c r="N40" s="233"/>
      <c r="O40" s="259">
        <f t="shared" si="10"/>
        <v>0</v>
      </c>
      <c r="P40" s="233">
        <f t="shared" si="11"/>
        <v>2473.17</v>
      </c>
      <c r="Q40" s="235">
        <v>30</v>
      </c>
      <c r="R40" s="235">
        <f t="shared" si="15"/>
        <v>0</v>
      </c>
      <c r="S40" s="233"/>
      <c r="T40" s="236"/>
      <c r="U40" s="237">
        <f t="shared" si="16"/>
        <v>2473.17</v>
      </c>
    </row>
    <row r="41" spans="1:21" ht="15.75">
      <c r="A41" s="238">
        <v>8</v>
      </c>
      <c r="B41" s="260" t="s">
        <v>788</v>
      </c>
      <c r="C41" s="261">
        <v>34</v>
      </c>
      <c r="D41" s="261">
        <v>32</v>
      </c>
      <c r="E41" s="732">
        <v>4604.04</v>
      </c>
      <c r="F41" s="233">
        <f t="shared" si="13"/>
        <v>1020</v>
      </c>
      <c r="G41" s="234"/>
      <c r="H41" s="734">
        <v>136</v>
      </c>
      <c r="I41" s="233">
        <f t="shared" si="14"/>
        <v>5760.04</v>
      </c>
      <c r="J41" s="233">
        <f t="shared" si="17"/>
        <v>102</v>
      </c>
      <c r="K41" s="233">
        <f t="shared" si="8"/>
        <v>5658.04</v>
      </c>
      <c r="L41" s="233">
        <f t="shared" si="9"/>
        <v>0</v>
      </c>
      <c r="M41" s="233"/>
      <c r="N41" s="233"/>
      <c r="O41" s="259">
        <f t="shared" si="10"/>
        <v>0</v>
      </c>
      <c r="P41" s="233">
        <f t="shared" si="11"/>
        <v>5658.04</v>
      </c>
      <c r="Q41" s="235">
        <v>30</v>
      </c>
      <c r="R41" s="235">
        <f t="shared" si="15"/>
        <v>0</v>
      </c>
      <c r="S41" s="233"/>
      <c r="T41" s="236"/>
      <c r="U41" s="237">
        <f t="shared" si="16"/>
        <v>5658.04</v>
      </c>
    </row>
    <row r="42" spans="1:21" ht="15.75">
      <c r="A42" s="238">
        <v>9</v>
      </c>
      <c r="B42" s="260" t="s">
        <v>789</v>
      </c>
      <c r="C42" s="261">
        <v>35</v>
      </c>
      <c r="D42" s="261">
        <v>28</v>
      </c>
      <c r="E42" s="732">
        <v>3548.86</v>
      </c>
      <c r="F42" s="233">
        <f t="shared" si="13"/>
        <v>1050</v>
      </c>
      <c r="G42" s="234"/>
      <c r="H42" s="734">
        <v>57</v>
      </c>
      <c r="I42" s="233">
        <f t="shared" si="14"/>
        <v>4655.860000000001</v>
      </c>
      <c r="J42" s="233">
        <f t="shared" si="17"/>
        <v>105</v>
      </c>
      <c r="K42" s="233">
        <f t="shared" si="8"/>
        <v>4550.860000000001</v>
      </c>
      <c r="L42" s="233">
        <f t="shared" si="9"/>
        <v>0</v>
      </c>
      <c r="M42" s="233"/>
      <c r="N42" s="233"/>
      <c r="O42" s="259">
        <f t="shared" si="10"/>
        <v>0</v>
      </c>
      <c r="P42" s="233">
        <f t="shared" si="11"/>
        <v>4550.860000000001</v>
      </c>
      <c r="Q42" s="235">
        <v>30</v>
      </c>
      <c r="R42" s="235">
        <f t="shared" si="15"/>
        <v>0</v>
      </c>
      <c r="S42" s="233"/>
      <c r="T42" s="236"/>
      <c r="U42" s="237">
        <f t="shared" si="16"/>
        <v>4550.860000000001</v>
      </c>
    </row>
    <row r="43" spans="1:21" ht="15.75">
      <c r="A43" s="238">
        <v>10</v>
      </c>
      <c r="B43" s="733" t="s">
        <v>790</v>
      </c>
      <c r="C43" s="261">
        <v>41</v>
      </c>
      <c r="D43" s="261">
        <v>37</v>
      </c>
      <c r="E43" s="732">
        <v>4786.06</v>
      </c>
      <c r="F43" s="233">
        <f t="shared" si="13"/>
        <v>1230</v>
      </c>
      <c r="G43" s="234"/>
      <c r="H43" s="734">
        <v>73</v>
      </c>
      <c r="I43" s="233">
        <f t="shared" si="14"/>
        <v>6089.06</v>
      </c>
      <c r="J43" s="233">
        <f t="shared" si="17"/>
        <v>123</v>
      </c>
      <c r="K43" s="233">
        <f t="shared" si="8"/>
        <v>5966.06</v>
      </c>
      <c r="L43" s="233">
        <f t="shared" si="9"/>
        <v>0</v>
      </c>
      <c r="M43" s="233"/>
      <c r="N43" s="233"/>
      <c r="O43" s="259">
        <f t="shared" si="10"/>
        <v>0</v>
      </c>
      <c r="P43" s="233">
        <f t="shared" si="11"/>
        <v>5966.06</v>
      </c>
      <c r="Q43" s="235">
        <v>30</v>
      </c>
      <c r="R43" s="235">
        <f t="shared" si="15"/>
        <v>0</v>
      </c>
      <c r="S43" s="233"/>
      <c r="T43" s="236"/>
      <c r="U43" s="237">
        <f t="shared" si="16"/>
        <v>5966.06</v>
      </c>
    </row>
    <row r="44" spans="1:21" ht="15" customHeight="1">
      <c r="A44" s="238">
        <v>11</v>
      </c>
      <c r="B44" s="260" t="s">
        <v>791</v>
      </c>
      <c r="C44" s="261">
        <v>48</v>
      </c>
      <c r="D44" s="261">
        <v>39</v>
      </c>
      <c r="E44" s="732">
        <v>4897.32</v>
      </c>
      <c r="F44" s="233">
        <f t="shared" si="13"/>
        <v>1440</v>
      </c>
      <c r="G44" s="234"/>
      <c r="H44" s="734">
        <v>86</v>
      </c>
      <c r="I44" s="233">
        <f t="shared" si="14"/>
        <v>6423.32</v>
      </c>
      <c r="J44" s="233">
        <f t="shared" si="17"/>
        <v>144</v>
      </c>
      <c r="K44" s="233">
        <f t="shared" si="8"/>
        <v>6279.32</v>
      </c>
      <c r="L44" s="233">
        <f t="shared" si="9"/>
        <v>0</v>
      </c>
      <c r="M44" s="233"/>
      <c r="N44" s="233"/>
      <c r="O44" s="259">
        <f t="shared" si="10"/>
        <v>0</v>
      </c>
      <c r="P44" s="233">
        <f t="shared" si="11"/>
        <v>6279.32</v>
      </c>
      <c r="Q44" s="235">
        <v>30</v>
      </c>
      <c r="R44" s="235">
        <f t="shared" si="15"/>
        <v>0</v>
      </c>
      <c r="S44" s="233"/>
      <c r="T44" s="236"/>
      <c r="U44" s="237">
        <f t="shared" si="16"/>
        <v>6279.32</v>
      </c>
    </row>
    <row r="45" spans="1:21" ht="15.75">
      <c r="A45" s="238">
        <v>12</v>
      </c>
      <c r="B45" s="260" t="s">
        <v>792</v>
      </c>
      <c r="C45" s="261">
        <v>42</v>
      </c>
      <c r="D45" s="261">
        <v>33</v>
      </c>
      <c r="E45" s="732">
        <v>5000.12</v>
      </c>
      <c r="F45" s="233">
        <f t="shared" si="13"/>
        <v>1260</v>
      </c>
      <c r="G45" s="234"/>
      <c r="H45" s="734">
        <v>299</v>
      </c>
      <c r="I45" s="233">
        <f t="shared" si="14"/>
        <v>6559.12</v>
      </c>
      <c r="J45" s="233">
        <f t="shared" si="17"/>
        <v>126</v>
      </c>
      <c r="K45" s="233">
        <f t="shared" si="8"/>
        <v>6433.12</v>
      </c>
      <c r="L45" s="233">
        <f t="shared" si="9"/>
        <v>0</v>
      </c>
      <c r="M45" s="233"/>
      <c r="N45" s="233"/>
      <c r="O45" s="259">
        <f t="shared" si="10"/>
        <v>0</v>
      </c>
      <c r="P45" s="233">
        <f t="shared" si="11"/>
        <v>6433.12</v>
      </c>
      <c r="Q45" s="235">
        <v>30</v>
      </c>
      <c r="R45" s="235">
        <f t="shared" si="15"/>
        <v>0</v>
      </c>
      <c r="S45" s="233"/>
      <c r="T45" s="236"/>
      <c r="U45" s="237">
        <f t="shared" si="16"/>
        <v>6433.12</v>
      </c>
    </row>
    <row r="46" spans="1:21" ht="15.75">
      <c r="A46" s="238">
        <v>13</v>
      </c>
      <c r="B46" s="260" t="s">
        <v>793</v>
      </c>
      <c r="C46" s="261">
        <v>42</v>
      </c>
      <c r="D46" s="261">
        <v>36</v>
      </c>
      <c r="E46" s="732">
        <v>4635.24</v>
      </c>
      <c r="F46" s="233">
        <f t="shared" si="13"/>
        <v>1260</v>
      </c>
      <c r="G46" s="234"/>
      <c r="H46" s="734">
        <v>230</v>
      </c>
      <c r="I46" s="233">
        <f t="shared" si="14"/>
        <v>6125.24</v>
      </c>
      <c r="J46" s="233">
        <f t="shared" si="17"/>
        <v>126</v>
      </c>
      <c r="K46" s="233">
        <f t="shared" si="8"/>
        <v>5999.24</v>
      </c>
      <c r="L46" s="233">
        <f t="shared" si="9"/>
        <v>0</v>
      </c>
      <c r="M46" s="233"/>
      <c r="N46" s="233"/>
      <c r="O46" s="259">
        <f t="shared" si="10"/>
        <v>0</v>
      </c>
      <c r="P46" s="233">
        <f t="shared" si="11"/>
        <v>5999.24</v>
      </c>
      <c r="Q46" s="235">
        <v>30</v>
      </c>
      <c r="R46" s="235">
        <f t="shared" si="15"/>
        <v>0</v>
      </c>
      <c r="S46" s="233"/>
      <c r="T46" s="236"/>
      <c r="U46" s="237">
        <f t="shared" si="16"/>
        <v>5999.24</v>
      </c>
    </row>
    <row r="47" spans="1:21" ht="15.75">
      <c r="A47" s="238">
        <v>14</v>
      </c>
      <c r="B47" s="260" t="s">
        <v>794</v>
      </c>
      <c r="C47" s="261">
        <v>31</v>
      </c>
      <c r="D47" s="261">
        <v>30</v>
      </c>
      <c r="E47" s="261">
        <v>4453.97</v>
      </c>
      <c r="F47" s="233">
        <f t="shared" si="13"/>
        <v>930</v>
      </c>
      <c r="G47" s="234"/>
      <c r="H47" s="734">
        <v>212</v>
      </c>
      <c r="I47" s="233">
        <f t="shared" si="14"/>
        <v>5595.97</v>
      </c>
      <c r="J47" s="233">
        <f t="shared" si="17"/>
        <v>93</v>
      </c>
      <c r="K47" s="233">
        <f t="shared" si="8"/>
        <v>5502.97</v>
      </c>
      <c r="L47" s="233">
        <f t="shared" si="9"/>
        <v>0</v>
      </c>
      <c r="M47" s="233"/>
      <c r="N47" s="233"/>
      <c r="O47" s="259">
        <f t="shared" si="10"/>
        <v>0</v>
      </c>
      <c r="P47" s="233">
        <f t="shared" si="11"/>
        <v>5502.97</v>
      </c>
      <c r="Q47" s="235">
        <v>30</v>
      </c>
      <c r="R47" s="235">
        <f t="shared" si="15"/>
        <v>0</v>
      </c>
      <c r="S47" s="233"/>
      <c r="T47" s="236"/>
      <c r="U47" s="237">
        <f t="shared" si="16"/>
        <v>5502.97</v>
      </c>
    </row>
    <row r="48" spans="1:21" ht="15.75">
      <c r="A48" s="238">
        <v>15</v>
      </c>
      <c r="B48" s="260" t="s">
        <v>795</v>
      </c>
      <c r="C48" s="261">
        <v>49</v>
      </c>
      <c r="D48" s="261">
        <v>48</v>
      </c>
      <c r="E48" s="732">
        <v>7043.18</v>
      </c>
      <c r="F48" s="233">
        <f t="shared" si="13"/>
        <v>1470</v>
      </c>
      <c r="G48" s="234"/>
      <c r="H48" s="734">
        <v>82</v>
      </c>
      <c r="I48" s="233">
        <f t="shared" si="14"/>
        <v>8595.18</v>
      </c>
      <c r="J48" s="233">
        <f t="shared" si="17"/>
        <v>147</v>
      </c>
      <c r="K48" s="233">
        <f t="shared" si="8"/>
        <v>8448.18</v>
      </c>
      <c r="L48" s="233">
        <f t="shared" si="9"/>
        <v>0</v>
      </c>
      <c r="M48" s="233"/>
      <c r="N48" s="233"/>
      <c r="O48" s="259">
        <f t="shared" si="10"/>
        <v>0</v>
      </c>
      <c r="P48" s="233">
        <f t="shared" si="11"/>
        <v>8448.18</v>
      </c>
      <c r="Q48" s="235">
        <v>30</v>
      </c>
      <c r="R48" s="235">
        <f t="shared" si="15"/>
        <v>0</v>
      </c>
      <c r="S48" s="233"/>
      <c r="T48" s="236"/>
      <c r="U48" s="237">
        <f t="shared" si="16"/>
        <v>8448.18</v>
      </c>
    </row>
    <row r="49" spans="1:21" ht="15.75">
      <c r="A49" s="238">
        <v>16</v>
      </c>
      <c r="B49" s="260" t="s">
        <v>796</v>
      </c>
      <c r="C49" s="261">
        <v>35</v>
      </c>
      <c r="D49" s="261">
        <v>32</v>
      </c>
      <c r="E49" s="732">
        <v>4176.57</v>
      </c>
      <c r="F49" s="233">
        <f t="shared" si="13"/>
        <v>1050</v>
      </c>
      <c r="G49" s="234"/>
      <c r="H49" s="734">
        <v>139</v>
      </c>
      <c r="I49" s="233">
        <f t="shared" si="14"/>
        <v>5365.57</v>
      </c>
      <c r="J49" s="233">
        <f t="shared" si="17"/>
        <v>105</v>
      </c>
      <c r="K49" s="233">
        <f t="shared" si="8"/>
        <v>5260.57</v>
      </c>
      <c r="L49" s="233">
        <f t="shared" si="9"/>
        <v>0</v>
      </c>
      <c r="M49" s="233"/>
      <c r="N49" s="233"/>
      <c r="O49" s="259">
        <f t="shared" si="10"/>
        <v>0</v>
      </c>
      <c r="P49" s="233">
        <f t="shared" si="11"/>
        <v>5260.57</v>
      </c>
      <c r="Q49" s="235">
        <v>30</v>
      </c>
      <c r="R49" s="235">
        <f t="shared" si="15"/>
        <v>0</v>
      </c>
      <c r="S49" s="233"/>
      <c r="T49" s="236"/>
      <c r="U49" s="237">
        <f t="shared" si="16"/>
        <v>5260.57</v>
      </c>
    </row>
    <row r="50" spans="1:21" ht="15.75">
      <c r="A50" s="238">
        <v>17</v>
      </c>
      <c r="B50" s="260" t="s">
        <v>797</v>
      </c>
      <c r="C50" s="261">
        <v>23</v>
      </c>
      <c r="D50" s="261">
        <v>21</v>
      </c>
      <c r="E50" s="732">
        <v>2963.7</v>
      </c>
      <c r="F50" s="233">
        <f t="shared" si="13"/>
        <v>690</v>
      </c>
      <c r="G50" s="234"/>
      <c r="H50" s="734">
        <v>103</v>
      </c>
      <c r="I50" s="233">
        <f t="shared" si="14"/>
        <v>3756.7</v>
      </c>
      <c r="J50" s="233">
        <f t="shared" si="17"/>
        <v>69</v>
      </c>
      <c r="K50" s="233">
        <f t="shared" si="8"/>
        <v>3687.7</v>
      </c>
      <c r="L50" s="233">
        <f t="shared" si="9"/>
        <v>0</v>
      </c>
      <c r="M50" s="233"/>
      <c r="N50" s="233"/>
      <c r="O50" s="259">
        <f t="shared" si="10"/>
        <v>0</v>
      </c>
      <c r="P50" s="233">
        <f t="shared" si="11"/>
        <v>3687.7</v>
      </c>
      <c r="Q50" s="235">
        <v>30</v>
      </c>
      <c r="R50" s="235">
        <f t="shared" si="15"/>
        <v>0</v>
      </c>
      <c r="S50" s="233"/>
      <c r="T50" s="236"/>
      <c r="U50" s="237">
        <f t="shared" si="16"/>
        <v>3687.7</v>
      </c>
    </row>
    <row r="51" spans="1:21" ht="15.75">
      <c r="A51" s="238">
        <v>18</v>
      </c>
      <c r="B51" s="260" t="s">
        <v>798</v>
      </c>
      <c r="C51" s="261">
        <v>23</v>
      </c>
      <c r="D51" s="261">
        <v>18</v>
      </c>
      <c r="E51" s="732">
        <v>2276.21</v>
      </c>
      <c r="F51" s="233">
        <f t="shared" si="13"/>
        <v>690</v>
      </c>
      <c r="G51" s="234"/>
      <c r="H51" s="734">
        <v>57</v>
      </c>
      <c r="I51" s="233">
        <f t="shared" si="14"/>
        <v>3023.21</v>
      </c>
      <c r="J51" s="233">
        <f t="shared" si="17"/>
        <v>69</v>
      </c>
      <c r="K51" s="233">
        <f t="shared" si="8"/>
        <v>2954.21</v>
      </c>
      <c r="L51" s="233">
        <f t="shared" si="9"/>
        <v>0</v>
      </c>
      <c r="M51" s="233"/>
      <c r="N51" s="233"/>
      <c r="O51" s="259">
        <f t="shared" si="10"/>
        <v>0</v>
      </c>
      <c r="P51" s="233">
        <f t="shared" si="11"/>
        <v>2954.21</v>
      </c>
      <c r="Q51" s="235">
        <v>30</v>
      </c>
      <c r="R51" s="235">
        <f t="shared" si="15"/>
        <v>0</v>
      </c>
      <c r="S51" s="233"/>
      <c r="T51" s="236"/>
      <c r="U51" s="237">
        <f t="shared" si="16"/>
        <v>2954.21</v>
      </c>
    </row>
    <row r="52" spans="1:22" s="21" customFormat="1" ht="15.75">
      <c r="A52" s="240" t="s">
        <v>316</v>
      </c>
      <c r="B52" s="241" t="s">
        <v>300</v>
      </c>
      <c r="C52" s="45">
        <f aca="true" t="shared" si="18" ref="C52:Q52">SUM(C53:C62)</f>
        <v>481</v>
      </c>
      <c r="D52" s="45">
        <f t="shared" si="18"/>
        <v>456</v>
      </c>
      <c r="E52" s="45">
        <f t="shared" si="18"/>
        <v>57682.66</v>
      </c>
      <c r="F52" s="45">
        <f t="shared" si="18"/>
        <v>14430</v>
      </c>
      <c r="G52" s="57">
        <f t="shared" si="18"/>
        <v>0</v>
      </c>
      <c r="H52" s="45">
        <f t="shared" si="18"/>
        <v>1486</v>
      </c>
      <c r="I52" s="45">
        <f t="shared" si="18"/>
        <v>73598.65999999999</v>
      </c>
      <c r="J52" s="45">
        <f t="shared" si="18"/>
        <v>1443</v>
      </c>
      <c r="K52" s="45">
        <f t="shared" si="18"/>
        <v>72155.65999999999</v>
      </c>
      <c r="L52" s="45">
        <f t="shared" si="18"/>
        <v>5070</v>
      </c>
      <c r="M52" s="45">
        <f t="shared" si="18"/>
        <v>3042</v>
      </c>
      <c r="N52" s="45">
        <f t="shared" si="18"/>
        <v>2028.0000000000002</v>
      </c>
      <c r="O52" s="45">
        <f t="shared" si="18"/>
        <v>304.2</v>
      </c>
      <c r="P52" s="45">
        <f t="shared" si="18"/>
        <v>68809.46</v>
      </c>
      <c r="Q52" s="247">
        <f t="shared" si="18"/>
        <v>300</v>
      </c>
      <c r="R52" s="45">
        <f t="shared" si="15"/>
        <v>140</v>
      </c>
      <c r="S52" s="45">
        <f>SUM(S53:S62)</f>
        <v>84</v>
      </c>
      <c r="T52" s="45">
        <f>SUM(T53:T62)</f>
        <v>56</v>
      </c>
      <c r="U52" s="45">
        <f>SUM(U53:U62)</f>
        <v>68725.46</v>
      </c>
      <c r="V52" s="18"/>
    </row>
    <row r="53" spans="1:21" ht="15.75">
      <c r="A53" s="238">
        <v>1</v>
      </c>
      <c r="B53" s="260" t="s">
        <v>301</v>
      </c>
      <c r="C53" s="261">
        <v>35</v>
      </c>
      <c r="D53" s="261">
        <v>33</v>
      </c>
      <c r="E53" s="732">
        <v>3787.96</v>
      </c>
      <c r="F53" s="233">
        <f aca="true" t="shared" si="19" ref="F53:F62">(Q53*C53)</f>
        <v>1050</v>
      </c>
      <c r="G53" s="234"/>
      <c r="H53" s="734">
        <v>141</v>
      </c>
      <c r="I53" s="233">
        <f aca="true" t="shared" si="20" ref="I53:I62">E53+F53+G53+H53</f>
        <v>4978.96</v>
      </c>
      <c r="J53" s="233">
        <f>F53*10%</f>
        <v>105</v>
      </c>
      <c r="K53" s="233">
        <f t="shared" si="8"/>
        <v>4873.96</v>
      </c>
      <c r="L53" s="233">
        <f t="shared" si="9"/>
        <v>112</v>
      </c>
      <c r="M53" s="259">
        <f>'thu HP'!H32</f>
        <v>67.2</v>
      </c>
      <c r="N53" s="259">
        <f>'thu HP'!I32</f>
        <v>44.8</v>
      </c>
      <c r="O53" s="259">
        <f t="shared" si="10"/>
        <v>6.720000000000001</v>
      </c>
      <c r="P53" s="233">
        <f t="shared" si="11"/>
        <v>4800.04</v>
      </c>
      <c r="Q53" s="235">
        <v>30</v>
      </c>
      <c r="R53" s="233">
        <f t="shared" si="15"/>
        <v>9</v>
      </c>
      <c r="S53" s="233">
        <f>'THU DV'!F12</f>
        <v>5</v>
      </c>
      <c r="T53" s="262">
        <f>'THU DV'!G12</f>
        <v>4</v>
      </c>
      <c r="U53" s="237">
        <f aca="true" t="shared" si="21" ref="U53:U62">P53-S53</f>
        <v>4795.04</v>
      </c>
    </row>
    <row r="54" spans="1:21" ht="15.75">
      <c r="A54" s="238">
        <v>2</v>
      </c>
      <c r="B54" s="260" t="s">
        <v>302</v>
      </c>
      <c r="C54" s="261">
        <v>33</v>
      </c>
      <c r="D54" s="261">
        <v>28</v>
      </c>
      <c r="E54" s="732">
        <v>3468.23</v>
      </c>
      <c r="F54" s="233">
        <f t="shared" si="19"/>
        <v>990</v>
      </c>
      <c r="G54" s="234"/>
      <c r="H54" s="734">
        <v>294</v>
      </c>
      <c r="I54" s="233">
        <f t="shared" si="20"/>
        <v>4752.23</v>
      </c>
      <c r="J54" s="233">
        <f aca="true" t="shared" si="22" ref="J54:J62">F54*10%</f>
        <v>99</v>
      </c>
      <c r="K54" s="233">
        <f t="shared" si="8"/>
        <v>4653.23</v>
      </c>
      <c r="L54" s="233">
        <f t="shared" si="9"/>
        <v>288</v>
      </c>
      <c r="M54" s="259">
        <f>'thu HP'!H33</f>
        <v>172.79999999999998</v>
      </c>
      <c r="N54" s="259">
        <f>'thu HP'!I33</f>
        <v>115.20000000000002</v>
      </c>
      <c r="O54" s="259">
        <f t="shared" si="10"/>
        <v>17.279999999999998</v>
      </c>
      <c r="P54" s="233">
        <f t="shared" si="11"/>
        <v>4463.15</v>
      </c>
      <c r="Q54" s="235">
        <v>30</v>
      </c>
      <c r="R54" s="233">
        <f t="shared" si="15"/>
        <v>6</v>
      </c>
      <c r="S54" s="233">
        <f>'THU DV'!F13</f>
        <v>4</v>
      </c>
      <c r="T54" s="262">
        <f>'THU DV'!G13</f>
        <v>2</v>
      </c>
      <c r="U54" s="237">
        <f t="shared" si="21"/>
        <v>4459.15</v>
      </c>
    </row>
    <row r="55" spans="1:21" ht="15.75">
      <c r="A55" s="238">
        <v>3</v>
      </c>
      <c r="B55" s="260" t="s">
        <v>303</v>
      </c>
      <c r="C55" s="261">
        <v>66</v>
      </c>
      <c r="D55" s="261">
        <v>69</v>
      </c>
      <c r="E55" s="732">
        <v>9734.44</v>
      </c>
      <c r="F55" s="233">
        <f t="shared" si="19"/>
        <v>1980</v>
      </c>
      <c r="G55" s="234"/>
      <c r="H55" s="734">
        <v>203</v>
      </c>
      <c r="I55" s="233">
        <f t="shared" si="20"/>
        <v>11917.44</v>
      </c>
      <c r="J55" s="233">
        <f t="shared" si="22"/>
        <v>198</v>
      </c>
      <c r="K55" s="233">
        <f t="shared" si="8"/>
        <v>11719.44</v>
      </c>
      <c r="L55" s="233">
        <f t="shared" si="9"/>
        <v>780</v>
      </c>
      <c r="M55" s="259">
        <f>'thu HP'!H34</f>
        <v>468</v>
      </c>
      <c r="N55" s="259">
        <f>'thu HP'!I34</f>
        <v>312</v>
      </c>
      <c r="O55" s="259">
        <f t="shared" si="10"/>
        <v>46.800000000000004</v>
      </c>
      <c r="P55" s="233">
        <f t="shared" si="11"/>
        <v>11204.640000000001</v>
      </c>
      <c r="Q55" s="235">
        <v>30</v>
      </c>
      <c r="R55" s="233">
        <f t="shared" si="15"/>
        <v>27</v>
      </c>
      <c r="S55" s="233">
        <f>'THU DV'!F14</f>
        <v>16</v>
      </c>
      <c r="T55" s="262">
        <f>'THU DV'!G14</f>
        <v>11</v>
      </c>
      <c r="U55" s="237">
        <f t="shared" si="21"/>
        <v>11188.640000000001</v>
      </c>
    </row>
    <row r="56" spans="1:21" ht="15.75">
      <c r="A56" s="238">
        <v>4</v>
      </c>
      <c r="B56" s="260" t="s">
        <v>304</v>
      </c>
      <c r="C56" s="261">
        <v>60</v>
      </c>
      <c r="D56" s="261">
        <v>58</v>
      </c>
      <c r="E56" s="732">
        <v>7832.84</v>
      </c>
      <c r="F56" s="233">
        <f t="shared" si="19"/>
        <v>1800</v>
      </c>
      <c r="G56" s="234"/>
      <c r="H56" s="734">
        <v>262</v>
      </c>
      <c r="I56" s="233">
        <f t="shared" si="20"/>
        <v>9894.84</v>
      </c>
      <c r="J56" s="233">
        <f t="shared" si="22"/>
        <v>180</v>
      </c>
      <c r="K56" s="233">
        <f t="shared" si="8"/>
        <v>9714.84</v>
      </c>
      <c r="L56" s="233">
        <f t="shared" si="9"/>
        <v>736</v>
      </c>
      <c r="M56" s="259">
        <f>'thu HP'!H35</f>
        <v>441.59999999999997</v>
      </c>
      <c r="N56" s="259">
        <f>'thu HP'!I35</f>
        <v>294.40000000000003</v>
      </c>
      <c r="O56" s="259">
        <f t="shared" si="10"/>
        <v>44.16</v>
      </c>
      <c r="P56" s="233">
        <f t="shared" si="11"/>
        <v>9229.08</v>
      </c>
      <c r="Q56" s="235">
        <v>30</v>
      </c>
      <c r="R56" s="233">
        <f t="shared" si="15"/>
        <v>13</v>
      </c>
      <c r="S56" s="233">
        <f>'THU DV'!F15</f>
        <v>8</v>
      </c>
      <c r="T56" s="262">
        <f>'THU DV'!G15</f>
        <v>5</v>
      </c>
      <c r="U56" s="237">
        <f t="shared" si="21"/>
        <v>9221.08</v>
      </c>
    </row>
    <row r="57" spans="1:21" ht="15.75">
      <c r="A57" s="238">
        <v>5</v>
      </c>
      <c r="B57" s="260" t="s">
        <v>305</v>
      </c>
      <c r="C57" s="261">
        <v>67</v>
      </c>
      <c r="D57" s="261">
        <v>65</v>
      </c>
      <c r="E57" s="732">
        <v>8007.58</v>
      </c>
      <c r="F57" s="233">
        <f t="shared" si="19"/>
        <v>2010</v>
      </c>
      <c r="G57" s="234"/>
      <c r="H57" s="734">
        <v>59</v>
      </c>
      <c r="I57" s="233">
        <f t="shared" si="20"/>
        <v>10076.58</v>
      </c>
      <c r="J57" s="233">
        <f t="shared" si="22"/>
        <v>201</v>
      </c>
      <c r="K57" s="233">
        <f t="shared" si="8"/>
        <v>9875.58</v>
      </c>
      <c r="L57" s="233">
        <f t="shared" si="9"/>
        <v>898</v>
      </c>
      <c r="M57" s="259">
        <f>'thu HP'!H36</f>
        <v>538.8</v>
      </c>
      <c r="N57" s="259">
        <f>'thu HP'!I36</f>
        <v>359.20000000000005</v>
      </c>
      <c r="O57" s="259">
        <f t="shared" si="10"/>
        <v>53.879999999999995</v>
      </c>
      <c r="P57" s="233">
        <f t="shared" si="11"/>
        <v>9282.900000000001</v>
      </c>
      <c r="Q57" s="235">
        <v>30</v>
      </c>
      <c r="R57" s="233">
        <f t="shared" si="15"/>
        <v>18</v>
      </c>
      <c r="S57" s="233">
        <f>'THU DV'!F16</f>
        <v>11</v>
      </c>
      <c r="T57" s="262">
        <f>'THU DV'!G16</f>
        <v>7</v>
      </c>
      <c r="U57" s="237">
        <f t="shared" si="21"/>
        <v>9271.900000000001</v>
      </c>
    </row>
    <row r="58" spans="1:21" ht="15.75">
      <c r="A58" s="238">
        <v>6</v>
      </c>
      <c r="B58" s="260" t="s">
        <v>306</v>
      </c>
      <c r="C58" s="261">
        <v>33</v>
      </c>
      <c r="D58" s="261">
        <v>31</v>
      </c>
      <c r="E58" s="732">
        <v>3557.66</v>
      </c>
      <c r="F58" s="233">
        <f t="shared" si="19"/>
        <v>990</v>
      </c>
      <c r="G58" s="234"/>
      <c r="H58" s="734">
        <v>27</v>
      </c>
      <c r="I58" s="233">
        <f t="shared" si="20"/>
        <v>4574.66</v>
      </c>
      <c r="J58" s="233">
        <f t="shared" si="22"/>
        <v>99</v>
      </c>
      <c r="K58" s="233">
        <f t="shared" si="8"/>
        <v>4475.66</v>
      </c>
      <c r="L58" s="233">
        <f t="shared" si="9"/>
        <v>360</v>
      </c>
      <c r="M58" s="259">
        <f>'thu HP'!H37</f>
        <v>216</v>
      </c>
      <c r="N58" s="259">
        <f>'thu HP'!I37</f>
        <v>144</v>
      </c>
      <c r="O58" s="259">
        <f t="shared" si="10"/>
        <v>21.6</v>
      </c>
      <c r="P58" s="233">
        <f t="shared" si="11"/>
        <v>4238.0599999999995</v>
      </c>
      <c r="Q58" s="235">
        <v>30</v>
      </c>
      <c r="R58" s="233">
        <f t="shared" si="15"/>
        <v>9</v>
      </c>
      <c r="S58" s="233">
        <f>'THU DV'!F17</f>
        <v>5</v>
      </c>
      <c r="T58" s="262">
        <f>'THU DV'!G17</f>
        <v>4</v>
      </c>
      <c r="U58" s="237">
        <f t="shared" si="21"/>
        <v>4233.0599999999995</v>
      </c>
    </row>
    <row r="59" spans="1:21" ht="15.75">
      <c r="A59" s="238">
        <v>7</v>
      </c>
      <c r="B59" s="260" t="s">
        <v>307</v>
      </c>
      <c r="C59" s="261">
        <v>37</v>
      </c>
      <c r="D59" s="261">
        <v>32</v>
      </c>
      <c r="E59" s="732">
        <v>3803.64</v>
      </c>
      <c r="F59" s="233">
        <f t="shared" si="19"/>
        <v>1110</v>
      </c>
      <c r="G59" s="234"/>
      <c r="H59" s="734">
        <v>39</v>
      </c>
      <c r="I59" s="233">
        <f t="shared" si="20"/>
        <v>4952.639999999999</v>
      </c>
      <c r="J59" s="233">
        <f t="shared" si="22"/>
        <v>111</v>
      </c>
      <c r="K59" s="233">
        <f t="shared" si="8"/>
        <v>4841.639999999999</v>
      </c>
      <c r="L59" s="233">
        <f t="shared" si="9"/>
        <v>114</v>
      </c>
      <c r="M59" s="259">
        <f>'thu HP'!H38</f>
        <v>68.39999999999999</v>
      </c>
      <c r="N59" s="259">
        <f>'thu HP'!I38</f>
        <v>45.60000000000001</v>
      </c>
      <c r="O59" s="259">
        <f t="shared" si="10"/>
        <v>6.84</v>
      </c>
      <c r="P59" s="233">
        <f t="shared" si="11"/>
        <v>4766.4</v>
      </c>
      <c r="Q59" s="235">
        <v>30</v>
      </c>
      <c r="R59" s="233">
        <f t="shared" si="15"/>
        <v>11</v>
      </c>
      <c r="S59" s="233">
        <f>'THU DV'!F18</f>
        <v>7</v>
      </c>
      <c r="T59" s="262">
        <f>'THU DV'!G18</f>
        <v>4</v>
      </c>
      <c r="U59" s="237">
        <f t="shared" si="21"/>
        <v>4759.4</v>
      </c>
    </row>
    <row r="60" spans="1:21" ht="15.75">
      <c r="A60" s="238">
        <v>8</v>
      </c>
      <c r="B60" s="260" t="s">
        <v>308</v>
      </c>
      <c r="C60" s="261">
        <v>35</v>
      </c>
      <c r="D60" s="261">
        <v>32</v>
      </c>
      <c r="E60" s="732">
        <v>4435.58</v>
      </c>
      <c r="F60" s="233">
        <f t="shared" si="19"/>
        <v>1050</v>
      </c>
      <c r="G60" s="234"/>
      <c r="H60" s="734">
        <v>165</v>
      </c>
      <c r="I60" s="233">
        <f t="shared" si="20"/>
        <v>5650.58</v>
      </c>
      <c r="J60" s="233">
        <f t="shared" si="22"/>
        <v>105</v>
      </c>
      <c r="K60" s="233">
        <f t="shared" si="8"/>
        <v>5545.58</v>
      </c>
      <c r="L60" s="233">
        <f t="shared" si="9"/>
        <v>421</v>
      </c>
      <c r="M60" s="259">
        <f>'thu HP'!H39</f>
        <v>252.6</v>
      </c>
      <c r="N60" s="259">
        <f>'thu HP'!I39</f>
        <v>168.4</v>
      </c>
      <c r="O60" s="259">
        <f t="shared" si="10"/>
        <v>25.26</v>
      </c>
      <c r="P60" s="233">
        <f t="shared" si="11"/>
        <v>5267.719999999999</v>
      </c>
      <c r="Q60" s="235">
        <v>30</v>
      </c>
      <c r="R60" s="233">
        <f t="shared" si="15"/>
        <v>7</v>
      </c>
      <c r="S60" s="233">
        <f>'THU DV'!F19</f>
        <v>4</v>
      </c>
      <c r="T60" s="262">
        <f>'THU DV'!G19</f>
        <v>3</v>
      </c>
      <c r="U60" s="237">
        <f t="shared" si="21"/>
        <v>5263.719999999999</v>
      </c>
    </row>
    <row r="61" spans="1:21" ht="15.75">
      <c r="A61" s="238">
        <v>9</v>
      </c>
      <c r="B61" s="260" t="s">
        <v>309</v>
      </c>
      <c r="C61" s="261">
        <v>80</v>
      </c>
      <c r="D61" s="261">
        <v>77</v>
      </c>
      <c r="E61" s="732">
        <v>8871.73</v>
      </c>
      <c r="F61" s="233">
        <f t="shared" si="19"/>
        <v>2400</v>
      </c>
      <c r="G61" s="234"/>
      <c r="H61" s="734">
        <v>296</v>
      </c>
      <c r="I61" s="233">
        <f t="shared" si="20"/>
        <v>11567.73</v>
      </c>
      <c r="J61" s="233">
        <f t="shared" si="22"/>
        <v>240</v>
      </c>
      <c r="K61" s="233">
        <f t="shared" si="8"/>
        <v>11327.73</v>
      </c>
      <c r="L61" s="233">
        <f t="shared" si="9"/>
        <v>985</v>
      </c>
      <c r="M61" s="259">
        <f>'thu HP'!H40</f>
        <v>591</v>
      </c>
      <c r="N61" s="259">
        <f>'thu HP'!I40</f>
        <v>394</v>
      </c>
      <c r="O61" s="259">
        <f t="shared" si="10"/>
        <v>59.1</v>
      </c>
      <c r="P61" s="233">
        <f t="shared" si="11"/>
        <v>10677.63</v>
      </c>
      <c r="Q61" s="235">
        <v>30</v>
      </c>
      <c r="R61" s="233">
        <f t="shared" si="15"/>
        <v>31</v>
      </c>
      <c r="S61" s="233">
        <f>'THU DV'!F20</f>
        <v>19</v>
      </c>
      <c r="T61" s="262">
        <f>'THU DV'!G20</f>
        <v>12</v>
      </c>
      <c r="U61" s="237">
        <f t="shared" si="21"/>
        <v>10658.63</v>
      </c>
    </row>
    <row r="62" spans="1:21" ht="15.75">
      <c r="A62" s="238">
        <v>10</v>
      </c>
      <c r="B62" s="260" t="s">
        <v>310</v>
      </c>
      <c r="C62" s="261">
        <v>35</v>
      </c>
      <c r="D62" s="261">
        <v>31</v>
      </c>
      <c r="E62" s="732">
        <v>4183</v>
      </c>
      <c r="F62" s="233">
        <f t="shared" si="19"/>
        <v>1050</v>
      </c>
      <c r="G62" s="234"/>
      <c r="H62" s="734"/>
      <c r="I62" s="233">
        <f t="shared" si="20"/>
        <v>5233</v>
      </c>
      <c r="J62" s="233">
        <f t="shared" si="22"/>
        <v>105</v>
      </c>
      <c r="K62" s="233">
        <f t="shared" si="8"/>
        <v>5128</v>
      </c>
      <c r="L62" s="233">
        <f t="shared" si="9"/>
        <v>376</v>
      </c>
      <c r="M62" s="259">
        <f>'thu HP'!H41</f>
        <v>225.6</v>
      </c>
      <c r="N62" s="259">
        <f>'thu HP'!I41</f>
        <v>150.4</v>
      </c>
      <c r="O62" s="259">
        <f t="shared" si="10"/>
        <v>22.560000000000002</v>
      </c>
      <c r="P62" s="233">
        <f t="shared" si="11"/>
        <v>4879.839999999999</v>
      </c>
      <c r="Q62" s="235">
        <v>30</v>
      </c>
      <c r="R62" s="233">
        <f t="shared" si="15"/>
        <v>9</v>
      </c>
      <c r="S62" s="233">
        <f>'THU DV'!F21</f>
        <v>5</v>
      </c>
      <c r="T62" s="262">
        <f>'THU DV'!G21</f>
        <v>4</v>
      </c>
      <c r="U62" s="237">
        <f t="shared" si="21"/>
        <v>4874.839999999999</v>
      </c>
    </row>
    <row r="63" spans="1:21" ht="19.5" customHeight="1">
      <c r="A63" s="14" t="s">
        <v>269</v>
      </c>
      <c r="B63" s="101" t="s">
        <v>427</v>
      </c>
      <c r="C63" s="243">
        <f>C64</f>
        <v>0</v>
      </c>
      <c r="D63" s="243">
        <f>D64</f>
        <v>0</v>
      </c>
      <c r="E63" s="45">
        <f>E64</f>
        <v>0</v>
      </c>
      <c r="F63" s="45">
        <f>F64+F65</f>
        <v>2620</v>
      </c>
      <c r="G63" s="45">
        <f aca="true" t="shared" si="23" ref="G63:U63">G64+G65</f>
        <v>0</v>
      </c>
      <c r="H63" s="45">
        <f t="shared" si="23"/>
        <v>0</v>
      </c>
      <c r="I63" s="45">
        <f t="shared" si="23"/>
        <v>2620</v>
      </c>
      <c r="J63" s="45">
        <f t="shared" si="23"/>
        <v>220</v>
      </c>
      <c r="K63" s="45">
        <f t="shared" si="23"/>
        <v>2400</v>
      </c>
      <c r="L63" s="45">
        <f t="shared" si="23"/>
        <v>0</v>
      </c>
      <c r="M63" s="45">
        <f t="shared" si="23"/>
        <v>0</v>
      </c>
      <c r="N63" s="45">
        <f t="shared" si="23"/>
        <v>0</v>
      </c>
      <c r="O63" s="259">
        <f t="shared" si="10"/>
        <v>0</v>
      </c>
      <c r="P63" s="233">
        <f t="shared" si="11"/>
        <v>2400</v>
      </c>
      <c r="Q63" s="247">
        <f t="shared" si="23"/>
        <v>0</v>
      </c>
      <c r="R63" s="45">
        <f t="shared" si="23"/>
        <v>0</v>
      </c>
      <c r="S63" s="45">
        <f t="shared" si="23"/>
        <v>0</v>
      </c>
      <c r="T63" s="45">
        <f t="shared" si="23"/>
        <v>0</v>
      </c>
      <c r="U63" s="45">
        <f t="shared" si="23"/>
        <v>2400</v>
      </c>
    </row>
    <row r="64" spans="1:21" ht="36" customHeight="1">
      <c r="A64" s="226">
        <v>1</v>
      </c>
      <c r="B64" s="244" t="s">
        <v>353</v>
      </c>
      <c r="C64" s="245"/>
      <c r="D64" s="245"/>
      <c r="E64" s="233"/>
      <c r="F64" s="233">
        <v>2200</v>
      </c>
      <c r="G64" s="234"/>
      <c r="H64" s="235"/>
      <c r="I64" s="233">
        <f>E64+F64</f>
        <v>2200</v>
      </c>
      <c r="J64" s="233">
        <f>F64*10%</f>
        <v>220</v>
      </c>
      <c r="K64" s="233">
        <f>I64-J64</f>
        <v>1980</v>
      </c>
      <c r="L64" s="233"/>
      <c r="M64" s="233"/>
      <c r="N64" s="233"/>
      <c r="O64" s="259">
        <f t="shared" si="10"/>
        <v>0</v>
      </c>
      <c r="P64" s="233">
        <f t="shared" si="11"/>
        <v>1980</v>
      </c>
      <c r="Q64" s="236"/>
      <c r="R64" s="246">
        <f>S64+T64</f>
        <v>0</v>
      </c>
      <c r="S64" s="233"/>
      <c r="T64" s="236"/>
      <c r="U64" s="237">
        <f>P64+S64</f>
        <v>1980</v>
      </c>
    </row>
    <row r="65" spans="1:21" s="21" customFormat="1" ht="42" customHeight="1">
      <c r="A65" s="14">
        <v>2</v>
      </c>
      <c r="B65" s="242" t="s">
        <v>801</v>
      </c>
      <c r="C65" s="243">
        <f>C66+C67</f>
        <v>0</v>
      </c>
      <c r="D65" s="243">
        <f>D66+D67</f>
        <v>0</v>
      </c>
      <c r="E65" s="45">
        <f>E66+E67</f>
        <v>0</v>
      </c>
      <c r="F65" s="45">
        <f>F66+F67</f>
        <v>420</v>
      </c>
      <c r="G65" s="57">
        <f>G66+G67</f>
        <v>0</v>
      </c>
      <c r="H65" s="737"/>
      <c r="I65" s="45">
        <f>I66+I67</f>
        <v>420</v>
      </c>
      <c r="J65" s="45">
        <f>J66+J67</f>
        <v>0</v>
      </c>
      <c r="K65" s="45">
        <f>K66+K67</f>
        <v>420</v>
      </c>
      <c r="L65" s="45">
        <f>L66+L67</f>
        <v>0</v>
      </c>
      <c r="M65" s="45">
        <f>M66+M67</f>
        <v>0</v>
      </c>
      <c r="N65" s="45"/>
      <c r="O65" s="265">
        <f t="shared" si="10"/>
        <v>0</v>
      </c>
      <c r="P65" s="45">
        <f t="shared" si="11"/>
        <v>420</v>
      </c>
      <c r="Q65" s="247">
        <f>Q66+Q67</f>
        <v>0</v>
      </c>
      <c r="R65" s="45">
        <f>R66+R67</f>
        <v>0</v>
      </c>
      <c r="S65" s="45">
        <f>S66+S67</f>
        <v>0</v>
      </c>
      <c r="T65" s="45">
        <f>T66+T67</f>
        <v>0</v>
      </c>
      <c r="U65" s="45">
        <f>U66+U67</f>
        <v>420</v>
      </c>
    </row>
    <row r="66" spans="1:21" ht="35.25" customHeight="1">
      <c r="A66" s="226"/>
      <c r="B66" s="254" t="s">
        <v>426</v>
      </c>
      <c r="C66" s="245"/>
      <c r="D66" s="245"/>
      <c r="E66" s="233"/>
      <c r="F66" s="233">
        <v>270</v>
      </c>
      <c r="G66" s="234"/>
      <c r="H66" s="235"/>
      <c r="I66" s="233">
        <f>F66</f>
        <v>270</v>
      </c>
      <c r="J66" s="233"/>
      <c r="K66" s="233">
        <f>I66-J66</f>
        <v>270</v>
      </c>
      <c r="L66" s="233"/>
      <c r="M66" s="233"/>
      <c r="N66" s="233"/>
      <c r="O66" s="259">
        <f t="shared" si="10"/>
        <v>0</v>
      </c>
      <c r="P66" s="233">
        <f t="shared" si="11"/>
        <v>270</v>
      </c>
      <c r="Q66" s="236"/>
      <c r="R66" s="235">
        <f>S66+T66</f>
        <v>0</v>
      </c>
      <c r="S66" s="233"/>
      <c r="T66" s="236"/>
      <c r="U66" s="237">
        <f>P66+S66</f>
        <v>270</v>
      </c>
    </row>
    <row r="67" spans="1:21" ht="39" customHeight="1">
      <c r="A67" s="226"/>
      <c r="B67" s="254" t="s">
        <v>680</v>
      </c>
      <c r="C67" s="245"/>
      <c r="D67" s="245"/>
      <c r="E67" s="233"/>
      <c r="F67" s="233">
        <v>150</v>
      </c>
      <c r="G67" s="234"/>
      <c r="H67" s="235"/>
      <c r="I67" s="233">
        <f>F67+H67</f>
        <v>150</v>
      </c>
      <c r="J67" s="233"/>
      <c r="K67" s="233">
        <f>I67-J67</f>
        <v>150</v>
      </c>
      <c r="L67" s="233"/>
      <c r="M67" s="233"/>
      <c r="N67" s="233"/>
      <c r="O67" s="259">
        <f t="shared" si="10"/>
        <v>0</v>
      </c>
      <c r="P67" s="233">
        <f t="shared" si="11"/>
        <v>150</v>
      </c>
      <c r="Q67" s="236"/>
      <c r="R67" s="235">
        <f>S67+T67</f>
        <v>0</v>
      </c>
      <c r="S67" s="233"/>
      <c r="T67" s="236"/>
      <c r="U67" s="237">
        <f>P67+S67</f>
        <v>150</v>
      </c>
    </row>
    <row r="68" spans="1:21" s="21" customFormat="1" ht="24" customHeight="1">
      <c r="A68" s="14" t="s">
        <v>270</v>
      </c>
      <c r="B68" s="101" t="s">
        <v>423</v>
      </c>
      <c r="C68" s="239">
        <f>C69</f>
        <v>19</v>
      </c>
      <c r="D68" s="239">
        <f aca="true" t="shared" si="24" ref="D68:U68">D69</f>
        <v>18</v>
      </c>
      <c r="E68" s="239">
        <f t="shared" si="24"/>
        <v>2076</v>
      </c>
      <c r="F68" s="239">
        <f t="shared" si="24"/>
        <v>570</v>
      </c>
      <c r="G68" s="239">
        <f t="shared" si="24"/>
        <v>0</v>
      </c>
      <c r="H68" s="239">
        <f t="shared" si="24"/>
        <v>0</v>
      </c>
      <c r="I68" s="239">
        <f t="shared" si="24"/>
        <v>2646</v>
      </c>
      <c r="J68" s="239">
        <f t="shared" si="24"/>
        <v>57</v>
      </c>
      <c r="K68" s="239">
        <f t="shared" si="24"/>
        <v>2589</v>
      </c>
      <c r="L68" s="239">
        <f t="shared" si="24"/>
        <v>216</v>
      </c>
      <c r="M68" s="239">
        <f t="shared" si="24"/>
        <v>129.6</v>
      </c>
      <c r="N68" s="239">
        <f t="shared" si="24"/>
        <v>86.4</v>
      </c>
      <c r="O68" s="239">
        <f t="shared" si="24"/>
        <v>12.96</v>
      </c>
      <c r="P68" s="239">
        <f t="shared" si="24"/>
        <v>2446.44</v>
      </c>
      <c r="Q68" s="239"/>
      <c r="R68" s="239">
        <f t="shared" si="24"/>
        <v>104.8</v>
      </c>
      <c r="S68" s="239">
        <f t="shared" si="24"/>
        <v>63</v>
      </c>
      <c r="T68" s="239">
        <f t="shared" si="24"/>
        <v>41.8</v>
      </c>
      <c r="U68" s="239">
        <f t="shared" si="24"/>
        <v>2383.44</v>
      </c>
    </row>
    <row r="69" spans="1:21" ht="33.75" customHeight="1">
      <c r="A69" s="225">
        <v>1</v>
      </c>
      <c r="B69" s="230" t="s">
        <v>666</v>
      </c>
      <c r="C69" s="231">
        <v>19</v>
      </c>
      <c r="D69" s="232">
        <v>18</v>
      </c>
      <c r="E69" s="233">
        <v>2076</v>
      </c>
      <c r="F69" s="233">
        <f>(Q69*C69)</f>
        <v>570</v>
      </c>
      <c r="G69" s="234"/>
      <c r="H69" s="233"/>
      <c r="I69" s="233">
        <f>E69+F69+G69+H69</f>
        <v>2646</v>
      </c>
      <c r="J69" s="233">
        <f>F69*10%</f>
        <v>57</v>
      </c>
      <c r="K69" s="233">
        <f>I69-J69</f>
        <v>2589</v>
      </c>
      <c r="L69" s="233">
        <f>M69+N69</f>
        <v>216</v>
      </c>
      <c r="M69" s="233">
        <f>'thu HP'!H43</f>
        <v>129.6</v>
      </c>
      <c r="N69" s="233">
        <f>'thu HP'!I43</f>
        <v>86.4</v>
      </c>
      <c r="O69" s="259">
        <f t="shared" si="10"/>
        <v>12.96</v>
      </c>
      <c r="P69" s="233">
        <f>K69-M69-O69</f>
        <v>2446.44</v>
      </c>
      <c r="Q69" s="246">
        <v>30</v>
      </c>
      <c r="R69" s="233">
        <f>S69+T69</f>
        <v>104.8</v>
      </c>
      <c r="S69" s="233">
        <f>'THU DV'!F23</f>
        <v>63</v>
      </c>
      <c r="T69" s="233">
        <f>'THU DV'!G23</f>
        <v>41.8</v>
      </c>
      <c r="U69" s="237">
        <f>P69-S69</f>
        <v>2383.44</v>
      </c>
    </row>
    <row r="70" spans="1:21" ht="39.75" customHeight="1">
      <c r="A70" s="14" t="s">
        <v>271</v>
      </c>
      <c r="B70" s="101" t="s">
        <v>753</v>
      </c>
      <c r="C70" s="243">
        <f>C71+C74</f>
        <v>0</v>
      </c>
      <c r="D70" s="243">
        <f aca="true" t="shared" si="25" ref="D70:U70">D71+D74</f>
        <v>0</v>
      </c>
      <c r="E70" s="243">
        <f t="shared" si="25"/>
        <v>0</v>
      </c>
      <c r="F70" s="243">
        <f t="shared" si="25"/>
        <v>1163</v>
      </c>
      <c r="G70" s="243">
        <f t="shared" si="25"/>
        <v>0</v>
      </c>
      <c r="H70" s="243">
        <f t="shared" si="25"/>
        <v>0</v>
      </c>
      <c r="I70" s="243">
        <f t="shared" si="25"/>
        <v>1163</v>
      </c>
      <c r="J70" s="243">
        <f t="shared" si="25"/>
        <v>0</v>
      </c>
      <c r="K70" s="243">
        <f t="shared" si="25"/>
        <v>1163</v>
      </c>
      <c r="L70" s="243">
        <f t="shared" si="25"/>
        <v>0</v>
      </c>
      <c r="M70" s="243">
        <f t="shared" si="25"/>
        <v>0</v>
      </c>
      <c r="N70" s="243">
        <f t="shared" si="25"/>
        <v>0</v>
      </c>
      <c r="O70" s="259">
        <f t="shared" si="10"/>
        <v>0</v>
      </c>
      <c r="P70" s="233">
        <f t="shared" si="11"/>
        <v>1163</v>
      </c>
      <c r="Q70" s="248">
        <f t="shared" si="25"/>
        <v>0</v>
      </c>
      <c r="R70" s="243">
        <f t="shared" si="25"/>
        <v>0</v>
      </c>
      <c r="S70" s="243">
        <f t="shared" si="25"/>
        <v>0</v>
      </c>
      <c r="T70" s="243">
        <f t="shared" si="25"/>
        <v>0</v>
      </c>
      <c r="U70" s="243">
        <f t="shared" si="25"/>
        <v>1163</v>
      </c>
    </row>
    <row r="71" spans="1:21" s="267" customFormat="1" ht="35.25" customHeight="1" hidden="1">
      <c r="A71" s="686">
        <v>1</v>
      </c>
      <c r="B71" s="263" t="s">
        <v>424</v>
      </c>
      <c r="C71" s="264">
        <f>C72</f>
        <v>0</v>
      </c>
      <c r="D71" s="264">
        <f>D72</f>
        <v>0</v>
      </c>
      <c r="E71" s="265">
        <f>E72</f>
        <v>0</v>
      </c>
      <c r="F71" s="265">
        <f>F72+F73</f>
        <v>0</v>
      </c>
      <c r="G71" s="265">
        <f aca="true" t="shared" si="26" ref="G71:U71">G72+G73</f>
        <v>0</v>
      </c>
      <c r="H71" s="265">
        <f t="shared" si="26"/>
        <v>0</v>
      </c>
      <c r="I71" s="265">
        <f t="shared" si="26"/>
        <v>0</v>
      </c>
      <c r="J71" s="265">
        <f t="shared" si="26"/>
        <v>0</v>
      </c>
      <c r="K71" s="265">
        <f t="shared" si="26"/>
        <v>0</v>
      </c>
      <c r="L71" s="265">
        <f t="shared" si="26"/>
        <v>0</v>
      </c>
      <c r="M71" s="265">
        <f t="shared" si="26"/>
        <v>0</v>
      </c>
      <c r="N71" s="265"/>
      <c r="O71" s="259">
        <f t="shared" si="10"/>
        <v>0</v>
      </c>
      <c r="P71" s="233">
        <f t="shared" si="11"/>
        <v>0</v>
      </c>
      <c r="Q71" s="266">
        <f t="shared" si="26"/>
        <v>0</v>
      </c>
      <c r="R71" s="265">
        <f t="shared" si="26"/>
        <v>0</v>
      </c>
      <c r="S71" s="265">
        <f t="shared" si="26"/>
        <v>0</v>
      </c>
      <c r="T71" s="265">
        <f t="shared" si="26"/>
        <v>0</v>
      </c>
      <c r="U71" s="265">
        <f t="shared" si="26"/>
        <v>0</v>
      </c>
    </row>
    <row r="72" spans="1:21" s="267" customFormat="1" ht="22.5" customHeight="1" hidden="1">
      <c r="A72" s="268"/>
      <c r="B72" s="269" t="s">
        <v>425</v>
      </c>
      <c r="C72" s="270"/>
      <c r="D72" s="270"/>
      <c r="E72" s="259"/>
      <c r="F72" s="259"/>
      <c r="G72" s="259"/>
      <c r="H72" s="271"/>
      <c r="I72" s="259">
        <f>E72+F72</f>
        <v>0</v>
      </c>
      <c r="J72" s="259"/>
      <c r="K72" s="259">
        <f>I72-J72</f>
        <v>0</v>
      </c>
      <c r="L72" s="259"/>
      <c r="M72" s="259"/>
      <c r="N72" s="259"/>
      <c r="O72" s="259">
        <f t="shared" si="10"/>
        <v>0</v>
      </c>
      <c r="P72" s="233">
        <f t="shared" si="11"/>
        <v>0</v>
      </c>
      <c r="Q72" s="272"/>
      <c r="R72" s="271">
        <f>S72+T72</f>
        <v>0</v>
      </c>
      <c r="S72" s="259"/>
      <c r="T72" s="272"/>
      <c r="U72" s="273">
        <f>P72+S72</f>
        <v>0</v>
      </c>
    </row>
    <row r="73" spans="1:21" s="267" customFormat="1" ht="30.75" customHeight="1" hidden="1">
      <c r="A73" s="268"/>
      <c r="B73" s="274" t="s">
        <v>680</v>
      </c>
      <c r="C73" s="270"/>
      <c r="D73" s="270"/>
      <c r="E73" s="259"/>
      <c r="F73" s="259"/>
      <c r="G73" s="259"/>
      <c r="H73" s="271"/>
      <c r="I73" s="259"/>
      <c r="J73" s="259"/>
      <c r="K73" s="259">
        <f>I73-J73</f>
        <v>0</v>
      </c>
      <c r="L73" s="259"/>
      <c r="M73" s="259"/>
      <c r="N73" s="259"/>
      <c r="O73" s="259">
        <f t="shared" si="10"/>
        <v>0</v>
      </c>
      <c r="P73" s="233">
        <f t="shared" si="11"/>
        <v>0</v>
      </c>
      <c r="Q73" s="272"/>
      <c r="R73" s="271">
        <f>S73+T73</f>
        <v>0</v>
      </c>
      <c r="S73" s="259"/>
      <c r="T73" s="272"/>
      <c r="U73" s="273">
        <f>P73+S73</f>
        <v>0</v>
      </c>
    </row>
    <row r="74" spans="1:21" ht="35.25" customHeight="1">
      <c r="A74" s="14">
        <v>1</v>
      </c>
      <c r="B74" s="772" t="s">
        <v>670</v>
      </c>
      <c r="C74" s="243">
        <f>C75</f>
        <v>0</v>
      </c>
      <c r="D74" s="243">
        <f>D75</f>
        <v>0</v>
      </c>
      <c r="E74" s="45">
        <f>E75</f>
        <v>0</v>
      </c>
      <c r="F74" s="45">
        <f>F75</f>
        <v>1163</v>
      </c>
      <c r="G74" s="57">
        <f>G75</f>
        <v>0</v>
      </c>
      <c r="H74" s="235"/>
      <c r="I74" s="45">
        <f aca="true" t="shared" si="27" ref="I74:U74">I75</f>
        <v>1163</v>
      </c>
      <c r="J74" s="45">
        <f t="shared" si="27"/>
        <v>0</v>
      </c>
      <c r="K74" s="45">
        <f t="shared" si="27"/>
        <v>1163</v>
      </c>
      <c r="L74" s="45">
        <f t="shared" si="27"/>
        <v>0</v>
      </c>
      <c r="M74" s="45">
        <f t="shared" si="27"/>
        <v>0</v>
      </c>
      <c r="N74" s="45"/>
      <c r="O74" s="259">
        <f t="shared" si="10"/>
        <v>0</v>
      </c>
      <c r="P74" s="233">
        <f t="shared" si="11"/>
        <v>1163</v>
      </c>
      <c r="Q74" s="247">
        <f t="shared" si="27"/>
        <v>0</v>
      </c>
      <c r="R74" s="45">
        <f t="shared" si="27"/>
        <v>0</v>
      </c>
      <c r="S74" s="45">
        <f t="shared" si="27"/>
        <v>0</v>
      </c>
      <c r="T74" s="45">
        <f t="shared" si="27"/>
        <v>0</v>
      </c>
      <c r="U74" s="45">
        <f t="shared" si="27"/>
        <v>1163</v>
      </c>
    </row>
    <row r="75" spans="1:21" ht="30" customHeight="1">
      <c r="A75" s="226"/>
      <c r="B75" s="255" t="s">
        <v>671</v>
      </c>
      <c r="C75" s="245"/>
      <c r="D75" s="245"/>
      <c r="E75" s="233"/>
      <c r="F75" s="233">
        <v>1163</v>
      </c>
      <c r="G75" s="234"/>
      <c r="H75" s="235"/>
      <c r="I75" s="233">
        <f>F75</f>
        <v>1163</v>
      </c>
      <c r="J75" s="233"/>
      <c r="K75" s="233">
        <f>I75-J75</f>
        <v>1163</v>
      </c>
      <c r="L75" s="233"/>
      <c r="M75" s="233"/>
      <c r="N75" s="233"/>
      <c r="O75" s="259">
        <f t="shared" si="10"/>
        <v>0</v>
      </c>
      <c r="P75" s="233">
        <f t="shared" si="11"/>
        <v>1163</v>
      </c>
      <c r="Q75" s="236"/>
      <c r="R75" s="235">
        <f>S75+T75</f>
        <v>0</v>
      </c>
      <c r="S75" s="233"/>
      <c r="T75" s="236"/>
      <c r="U75" s="237">
        <f>P75+S75</f>
        <v>1163</v>
      </c>
    </row>
    <row r="76" spans="1:21" s="355" customFormat="1" ht="37.5" customHeight="1">
      <c r="A76" s="686" t="s">
        <v>340</v>
      </c>
      <c r="B76" s="351" t="s">
        <v>520</v>
      </c>
      <c r="C76" s="352"/>
      <c r="D76" s="352"/>
      <c r="E76" s="352"/>
      <c r="F76" s="265">
        <v>0</v>
      </c>
      <c r="G76" s="265"/>
      <c r="H76" s="353"/>
      <c r="I76" s="265">
        <f>257018-I14-I63-I68-I70</f>
        <v>16224.039999999979</v>
      </c>
      <c r="J76" s="265">
        <f>I76*10%</f>
        <v>1622.403999999998</v>
      </c>
      <c r="K76" s="265">
        <f>I76-J76</f>
        <v>14601.63599999998</v>
      </c>
      <c r="L76" s="265"/>
      <c r="M76" s="265"/>
      <c r="N76" s="265"/>
      <c r="O76" s="265">
        <f t="shared" si="10"/>
        <v>0</v>
      </c>
      <c r="P76" s="45">
        <f t="shared" si="11"/>
        <v>14601.63599999998</v>
      </c>
      <c r="Q76" s="352"/>
      <c r="R76" s="353"/>
      <c r="S76" s="265"/>
      <c r="T76" s="352"/>
      <c r="U76" s="354">
        <f>P76</f>
        <v>14601.63599999998</v>
      </c>
    </row>
    <row r="82" ht="15.75">
      <c r="G82" s="58"/>
    </row>
  </sheetData>
  <sheetProtection/>
  <mergeCells count="30">
    <mergeCell ref="N9:N11"/>
    <mergeCell ref="P7:P11"/>
    <mergeCell ref="A13:B13"/>
    <mergeCell ref="A7:A11"/>
    <mergeCell ref="B7:B11"/>
    <mergeCell ref="D7:D11"/>
    <mergeCell ref="C7:C11"/>
    <mergeCell ref="I7:I11"/>
    <mergeCell ref="K7:K11"/>
    <mergeCell ref="O7:O11"/>
    <mergeCell ref="B3:U3"/>
    <mergeCell ref="A4:U4"/>
    <mergeCell ref="A5:U5"/>
    <mergeCell ref="E7:E11"/>
    <mergeCell ref="F7:F11"/>
    <mergeCell ref="G7:G11"/>
    <mergeCell ref="H7:H11"/>
    <mergeCell ref="R6:U6"/>
    <mergeCell ref="T9:T11"/>
    <mergeCell ref="J7:J11"/>
    <mergeCell ref="U7:U11"/>
    <mergeCell ref="S8:T8"/>
    <mergeCell ref="R7:T7"/>
    <mergeCell ref="S9:S11"/>
    <mergeCell ref="L8:L11"/>
    <mergeCell ref="M8:N8"/>
    <mergeCell ref="M9:M11"/>
    <mergeCell ref="R8:R11"/>
    <mergeCell ref="L7:N7"/>
    <mergeCell ref="Q7:Q11"/>
  </mergeCells>
  <printOptions/>
  <pageMargins left="0.3937007874015748" right="0.1968503937007874" top="0.5118110236220472" bottom="0.5511811023622047" header="0.5511811023622047" footer="0.31496062992125984"/>
  <pageSetup horizontalDpi="600" verticalDpi="600" orientation="landscape" paperSize="9" scale="68" r:id="rId2"/>
  <headerFooter alignWithMargins="0">
    <oddFooter>&amp;CPage &amp;P</oddFooter>
  </headerFooter>
  <drawing r:id="rId1"/>
</worksheet>
</file>

<file path=xl/worksheets/sheet7.xml><?xml version="1.0" encoding="utf-8"?>
<worksheet xmlns="http://schemas.openxmlformats.org/spreadsheetml/2006/main" xmlns:r="http://schemas.openxmlformats.org/officeDocument/2006/relationships">
  <sheetPr>
    <tabColor rgb="FF0070C0"/>
  </sheetPr>
  <dimension ref="A1:V23"/>
  <sheetViews>
    <sheetView zoomScalePageLayoutView="0" workbookViewId="0" topLeftCell="A1">
      <selection activeCell="A1" sqref="A1:IV1"/>
    </sheetView>
  </sheetViews>
  <sheetFormatPr defaultColWidth="11.140625" defaultRowHeight="12.75"/>
  <cols>
    <col min="1" max="1" width="5.00390625" style="106" bestFit="1" customWidth="1"/>
    <col min="2" max="2" width="25.7109375" style="106" customWidth="1"/>
    <col min="3" max="3" width="7.421875" style="106" customWidth="1"/>
    <col min="4" max="4" width="5.8515625" style="106" customWidth="1"/>
    <col min="5" max="5" width="5.28125" style="106" customWidth="1"/>
    <col min="6" max="6" width="4.57421875" style="106" hidden="1" customWidth="1"/>
    <col min="7" max="7" width="7.28125" style="150" customWidth="1"/>
    <col min="8" max="8" width="7.421875" style="150" customWidth="1"/>
    <col min="9" max="9" width="8.00390625" style="150" customWidth="1"/>
    <col min="10" max="10" width="5.7109375" style="106" hidden="1" customWidth="1"/>
    <col min="11" max="11" width="8.57421875" style="106" customWidth="1"/>
    <col min="12" max="12" width="7.28125" style="106" customWidth="1"/>
    <col min="13" max="13" width="7.8515625" style="150" customWidth="1"/>
    <col min="14" max="14" width="8.140625" style="150" customWidth="1"/>
    <col min="15" max="15" width="7.421875" style="150" customWidth="1"/>
    <col min="16" max="16" width="7.28125" style="106" customWidth="1"/>
    <col min="17" max="17" width="8.8515625" style="106" customWidth="1"/>
    <col min="18" max="18" width="7.8515625" style="106" customWidth="1"/>
    <col min="19" max="20" width="8.28125" style="106" customWidth="1"/>
    <col min="21" max="21" width="7.140625" style="106" customWidth="1"/>
    <col min="22" max="22" width="8.7109375" style="106" customWidth="1"/>
    <col min="23" max="16384" width="11.140625" style="106" customWidth="1"/>
  </cols>
  <sheetData>
    <row r="1" spans="1:22" ht="18.75">
      <c r="A1" s="24" t="s">
        <v>852</v>
      </c>
      <c r="B1" s="102"/>
      <c r="C1" s="103"/>
      <c r="D1" s="103"/>
      <c r="E1" s="103"/>
      <c r="F1" s="104"/>
      <c r="G1" s="105"/>
      <c r="H1" s="105"/>
      <c r="I1" s="105"/>
      <c r="J1" s="105"/>
      <c r="K1" s="105"/>
      <c r="L1" s="105"/>
      <c r="M1" s="105"/>
      <c r="N1" s="105"/>
      <c r="O1" s="105"/>
      <c r="P1" s="105"/>
      <c r="Q1" s="105"/>
      <c r="R1" s="105"/>
      <c r="S1" s="105"/>
      <c r="T1" s="105"/>
      <c r="U1" s="105"/>
      <c r="V1" s="105"/>
    </row>
    <row r="2" spans="1:22" ht="18.75">
      <c r="A2" s="24" t="s">
        <v>851</v>
      </c>
      <c r="B2" s="102"/>
      <c r="C2" s="103"/>
      <c r="D2" s="103"/>
      <c r="E2" s="103"/>
      <c r="F2" s="104"/>
      <c r="G2" s="105"/>
      <c r="H2" s="105"/>
      <c r="I2" s="105"/>
      <c r="J2" s="105"/>
      <c r="K2" s="105"/>
      <c r="L2" s="105"/>
      <c r="M2" s="105"/>
      <c r="N2" s="105"/>
      <c r="O2" s="105"/>
      <c r="P2" s="105"/>
      <c r="Q2" s="105"/>
      <c r="R2" s="105"/>
      <c r="S2" s="105"/>
      <c r="T2" s="105"/>
      <c r="U2" s="105"/>
      <c r="V2" s="105"/>
    </row>
    <row r="3" spans="1:22" ht="15.75" customHeight="1">
      <c r="A3" s="107"/>
      <c r="B3" s="102"/>
      <c r="C3" s="103"/>
      <c r="D3" s="103"/>
      <c r="E3" s="103"/>
      <c r="F3" s="104"/>
      <c r="G3" s="108"/>
      <c r="H3" s="108"/>
      <c r="I3" s="108"/>
      <c r="J3" s="109"/>
      <c r="K3" s="109"/>
      <c r="L3" s="109"/>
      <c r="M3" s="108"/>
      <c r="N3" s="108"/>
      <c r="O3" s="108"/>
      <c r="P3" s="109"/>
      <c r="Q3" s="109"/>
      <c r="R3" s="109"/>
      <c r="S3" s="109"/>
      <c r="T3" s="105"/>
      <c r="U3" s="105"/>
      <c r="V3" s="105"/>
    </row>
    <row r="4" spans="1:22" ht="18.75">
      <c r="A4" s="954" t="s">
        <v>381</v>
      </c>
      <c r="B4" s="954"/>
      <c r="C4" s="954"/>
      <c r="D4" s="954"/>
      <c r="E4" s="954"/>
      <c r="F4" s="954"/>
      <c r="G4" s="954"/>
      <c r="H4" s="954"/>
      <c r="I4" s="954"/>
      <c r="J4" s="954"/>
      <c r="K4" s="954"/>
      <c r="L4" s="954"/>
      <c r="M4" s="954"/>
      <c r="N4" s="954"/>
      <c r="O4" s="954"/>
      <c r="P4" s="954"/>
      <c r="Q4" s="954"/>
      <c r="R4" s="954"/>
      <c r="S4" s="954"/>
      <c r="T4" s="954"/>
      <c r="U4" s="954"/>
      <c r="V4" s="954"/>
    </row>
    <row r="5" spans="1:22" ht="23.25" customHeight="1">
      <c r="A5" s="954" t="s">
        <v>843</v>
      </c>
      <c r="B5" s="954"/>
      <c r="C5" s="954"/>
      <c r="D5" s="954"/>
      <c r="E5" s="954"/>
      <c r="F5" s="954"/>
      <c r="G5" s="954"/>
      <c r="H5" s="954"/>
      <c r="I5" s="954"/>
      <c r="J5" s="954"/>
      <c r="K5" s="954"/>
      <c r="L5" s="954"/>
      <c r="M5" s="954"/>
      <c r="N5" s="954"/>
      <c r="O5" s="954"/>
      <c r="P5" s="954"/>
      <c r="Q5" s="954"/>
      <c r="R5" s="954"/>
      <c r="S5" s="954"/>
      <c r="T5" s="954"/>
      <c r="U5" s="954"/>
      <c r="V5" s="954"/>
    </row>
    <row r="6" spans="1:22" ht="23.25" customHeight="1">
      <c r="A6" s="957" t="s">
        <v>853</v>
      </c>
      <c r="B6" s="957"/>
      <c r="C6" s="957"/>
      <c r="D6" s="957"/>
      <c r="E6" s="957"/>
      <c r="F6" s="957"/>
      <c r="G6" s="957"/>
      <c r="H6" s="957"/>
      <c r="I6" s="957"/>
      <c r="J6" s="957"/>
      <c r="K6" s="957"/>
      <c r="L6" s="957"/>
      <c r="M6" s="957"/>
      <c r="N6" s="957"/>
      <c r="O6" s="957"/>
      <c r="P6" s="957"/>
      <c r="Q6" s="957"/>
      <c r="R6" s="957"/>
      <c r="S6" s="957"/>
      <c r="T6" s="957"/>
      <c r="U6" s="957"/>
      <c r="V6" s="957"/>
    </row>
    <row r="7" spans="1:22" ht="18.75">
      <c r="A7" s="104"/>
      <c r="B7" s="103"/>
      <c r="C7" s="104"/>
      <c r="D7" s="104"/>
      <c r="E7" s="104"/>
      <c r="F7" s="104"/>
      <c r="G7" s="110"/>
      <c r="H7" s="110"/>
      <c r="I7" s="110"/>
      <c r="J7" s="104"/>
      <c r="K7" s="103"/>
      <c r="L7" s="111"/>
      <c r="M7" s="112"/>
      <c r="N7" s="112"/>
      <c r="O7" s="112"/>
      <c r="R7" s="103"/>
      <c r="S7" s="103"/>
      <c r="T7" s="956" t="s">
        <v>707</v>
      </c>
      <c r="U7" s="956"/>
      <c r="V7" s="956"/>
    </row>
    <row r="8" spans="1:22" ht="34.5" customHeight="1">
      <c r="A8" s="958" t="s">
        <v>266</v>
      </c>
      <c r="B8" s="958" t="s">
        <v>382</v>
      </c>
      <c r="C8" s="958" t="s">
        <v>383</v>
      </c>
      <c r="D8" s="958" t="s">
        <v>384</v>
      </c>
      <c r="E8" s="958" t="s">
        <v>0</v>
      </c>
      <c r="F8" s="958" t="s">
        <v>428</v>
      </c>
      <c r="G8" s="960" t="s">
        <v>385</v>
      </c>
      <c r="H8" s="961"/>
      <c r="I8" s="961"/>
      <c r="J8" s="962"/>
      <c r="K8" s="963" t="s">
        <v>437</v>
      </c>
      <c r="L8" s="964"/>
      <c r="M8" s="964"/>
      <c r="N8" s="964"/>
      <c r="O8" s="964"/>
      <c r="P8" s="965"/>
      <c r="Q8" s="958" t="s">
        <v>386</v>
      </c>
      <c r="R8" s="958" t="s">
        <v>387</v>
      </c>
      <c r="S8" s="958" t="s">
        <v>388</v>
      </c>
      <c r="T8" s="955" t="s">
        <v>62</v>
      </c>
      <c r="U8" s="955"/>
      <c r="V8" s="955"/>
    </row>
    <row r="9" spans="1:22" ht="157.5" customHeight="1">
      <c r="A9" s="959"/>
      <c r="B9" s="959"/>
      <c r="C9" s="959"/>
      <c r="D9" s="959"/>
      <c r="E9" s="959"/>
      <c r="F9" s="959"/>
      <c r="G9" s="113" t="s">
        <v>389</v>
      </c>
      <c r="H9" s="113" t="s">
        <v>390</v>
      </c>
      <c r="I9" s="113" t="s">
        <v>391</v>
      </c>
      <c r="J9" s="114" t="s">
        <v>392</v>
      </c>
      <c r="K9" s="114" t="s">
        <v>393</v>
      </c>
      <c r="L9" s="115" t="s">
        <v>394</v>
      </c>
      <c r="M9" s="113" t="s">
        <v>395</v>
      </c>
      <c r="N9" s="113" t="s">
        <v>396</v>
      </c>
      <c r="O9" s="113" t="s">
        <v>397</v>
      </c>
      <c r="P9" s="115" t="s">
        <v>398</v>
      </c>
      <c r="Q9" s="959"/>
      <c r="R9" s="959"/>
      <c r="S9" s="959"/>
      <c r="T9" s="116" t="s">
        <v>386</v>
      </c>
      <c r="U9" s="116" t="s">
        <v>387</v>
      </c>
      <c r="V9" s="116" t="s">
        <v>388</v>
      </c>
    </row>
    <row r="10" spans="1:22" s="124" customFormat="1" ht="24.75" customHeight="1">
      <c r="A10" s="117" t="s">
        <v>399</v>
      </c>
      <c r="B10" s="117" t="s">
        <v>400</v>
      </c>
      <c r="C10" s="117" t="s">
        <v>401</v>
      </c>
      <c r="D10" s="117" t="s">
        <v>402</v>
      </c>
      <c r="E10" s="117" t="s">
        <v>403</v>
      </c>
      <c r="F10" s="118">
        <v>6</v>
      </c>
      <c r="G10" s="119" t="s">
        <v>404</v>
      </c>
      <c r="H10" s="119" t="s">
        <v>405</v>
      </c>
      <c r="I10" s="120" t="s">
        <v>406</v>
      </c>
      <c r="J10" s="121">
        <v>8</v>
      </c>
      <c r="K10" s="121" t="s">
        <v>407</v>
      </c>
      <c r="L10" s="121">
        <v>10</v>
      </c>
      <c r="M10" s="122">
        <v>11</v>
      </c>
      <c r="N10" s="123">
        <v>13</v>
      </c>
      <c r="O10" s="123">
        <v>14</v>
      </c>
      <c r="P10" s="121">
        <v>15</v>
      </c>
      <c r="Q10" s="121" t="s">
        <v>408</v>
      </c>
      <c r="R10" s="121" t="s">
        <v>429</v>
      </c>
      <c r="S10" s="121" t="s">
        <v>430</v>
      </c>
      <c r="T10" s="151">
        <v>19</v>
      </c>
      <c r="U10" s="151">
        <v>20</v>
      </c>
      <c r="V10" s="151">
        <v>21</v>
      </c>
    </row>
    <row r="11" spans="1:22" ht="27.75" customHeight="1">
      <c r="A11" s="125"/>
      <c r="B11" s="126" t="s">
        <v>409</v>
      </c>
      <c r="C11" s="127">
        <f aca="true" t="shared" si="0" ref="C11:S11">C12+C13+C14+C15</f>
        <v>431</v>
      </c>
      <c r="D11" s="127">
        <f t="shared" si="0"/>
        <v>52</v>
      </c>
      <c r="E11" s="127">
        <f t="shared" si="0"/>
        <v>23</v>
      </c>
      <c r="F11" s="127">
        <f t="shared" si="0"/>
        <v>0</v>
      </c>
      <c r="G11" s="127">
        <f t="shared" si="0"/>
        <v>146.643</v>
      </c>
      <c r="H11" s="127">
        <f t="shared" si="0"/>
        <v>209.49</v>
      </c>
      <c r="I11" s="127">
        <f t="shared" si="0"/>
        <v>62.847</v>
      </c>
      <c r="J11" s="127">
        <f t="shared" si="0"/>
        <v>0</v>
      </c>
      <c r="K11" s="127">
        <f t="shared" si="0"/>
        <v>445.49</v>
      </c>
      <c r="L11" s="127">
        <f t="shared" si="0"/>
        <v>114.70999999999998</v>
      </c>
      <c r="M11" s="127">
        <f t="shared" si="0"/>
        <v>12.89</v>
      </c>
      <c r="N11" s="127">
        <f t="shared" si="0"/>
        <v>241.98000000000002</v>
      </c>
      <c r="O11" s="127">
        <f t="shared" si="0"/>
        <v>59.01</v>
      </c>
      <c r="P11" s="127">
        <f t="shared" si="0"/>
        <v>16.9</v>
      </c>
      <c r="Q11" s="127">
        <f t="shared" si="0"/>
        <v>298.847</v>
      </c>
      <c r="R11" s="127">
        <f t="shared" si="0"/>
        <v>32.8219</v>
      </c>
      <c r="S11" s="127">
        <f t="shared" si="0"/>
        <v>266.02510000000007</v>
      </c>
      <c r="T11" s="128">
        <f>T12+T13+T14+T15+T16+T17+T18</f>
        <v>336</v>
      </c>
      <c r="U11" s="128">
        <f>U12+U13+U14+U15+U16+U17+U18</f>
        <v>37</v>
      </c>
      <c r="V11" s="128">
        <f>V12+V13+V14+V15+V16+V17+V18</f>
        <v>299</v>
      </c>
    </row>
    <row r="12" spans="1:22" ht="38.25" customHeight="1">
      <c r="A12" s="114" t="s">
        <v>268</v>
      </c>
      <c r="B12" s="129" t="s">
        <v>445</v>
      </c>
      <c r="C12" s="130">
        <v>35</v>
      </c>
      <c r="D12" s="130">
        <v>5</v>
      </c>
      <c r="E12" s="130">
        <v>5</v>
      </c>
      <c r="F12" s="130"/>
      <c r="G12" s="131">
        <f>H12-I12</f>
        <v>12.201</v>
      </c>
      <c r="H12" s="131">
        <v>17.43</v>
      </c>
      <c r="I12" s="131">
        <f>H12*30%</f>
        <v>5.229</v>
      </c>
      <c r="J12" s="132"/>
      <c r="K12" s="131">
        <f>SUM(L12:P12)</f>
        <v>39.41</v>
      </c>
      <c r="L12" s="131">
        <v>16.15</v>
      </c>
      <c r="M12" s="131">
        <v>3.23</v>
      </c>
      <c r="N12" s="131">
        <v>17.88</v>
      </c>
      <c r="O12" s="131"/>
      <c r="P12" s="131">
        <v>2.15</v>
      </c>
      <c r="Q12" s="131">
        <f>K12-G12</f>
        <v>27.208999999999996</v>
      </c>
      <c r="R12" s="131">
        <f>(K12-O12)*10%</f>
        <v>3.941</v>
      </c>
      <c r="S12" s="131">
        <f>K12-G12-R12</f>
        <v>23.267999999999997</v>
      </c>
      <c r="T12" s="152">
        <v>27</v>
      </c>
      <c r="U12" s="153">
        <f>4</f>
        <v>4</v>
      </c>
      <c r="V12" s="154">
        <f aca="true" t="shared" si="1" ref="V12:V17">T12-U12</f>
        <v>23</v>
      </c>
    </row>
    <row r="13" spans="1:22" ht="38.25" customHeight="1">
      <c r="A13" s="114" t="s">
        <v>270</v>
      </c>
      <c r="B13" s="129" t="s">
        <v>431</v>
      </c>
      <c r="C13" s="130">
        <v>85</v>
      </c>
      <c r="D13" s="130">
        <v>6</v>
      </c>
      <c r="E13" s="130">
        <v>4</v>
      </c>
      <c r="F13" s="130"/>
      <c r="G13" s="131">
        <f>H13-I13</f>
        <v>23.849</v>
      </c>
      <c r="H13" s="131">
        <v>34.07</v>
      </c>
      <c r="I13" s="131">
        <f>H13*30%</f>
        <v>10.221</v>
      </c>
      <c r="J13" s="132"/>
      <c r="K13" s="131">
        <f>SUM(L13:P13)</f>
        <v>82.94000000000001</v>
      </c>
      <c r="L13" s="131">
        <v>19.58</v>
      </c>
      <c r="M13" s="131">
        <v>2.8</v>
      </c>
      <c r="N13" s="131">
        <v>47.68</v>
      </c>
      <c r="O13" s="131">
        <v>10.73</v>
      </c>
      <c r="P13" s="131">
        <v>2.15</v>
      </c>
      <c r="Q13" s="131">
        <f>K13-G13</f>
        <v>59.09100000000001</v>
      </c>
      <c r="R13" s="131">
        <f>(K13-O13)*10%</f>
        <v>7.221000000000001</v>
      </c>
      <c r="S13" s="131">
        <f>K13-G13-R13</f>
        <v>51.870000000000005</v>
      </c>
      <c r="T13" s="152">
        <v>59</v>
      </c>
      <c r="U13" s="152">
        <v>7</v>
      </c>
      <c r="V13" s="154">
        <f t="shared" si="1"/>
        <v>52</v>
      </c>
    </row>
    <row r="14" spans="1:22" s="134" customFormat="1" ht="42.75" customHeight="1">
      <c r="A14" s="114" t="s">
        <v>270</v>
      </c>
      <c r="B14" s="129" t="s">
        <v>446</v>
      </c>
      <c r="C14" s="130">
        <v>148</v>
      </c>
      <c r="D14" s="130">
        <v>9</v>
      </c>
      <c r="E14" s="130">
        <v>5</v>
      </c>
      <c r="F14" s="131"/>
      <c r="G14" s="131">
        <f>H14-I14</f>
        <v>52.33200000000001</v>
      </c>
      <c r="H14" s="131">
        <v>74.76</v>
      </c>
      <c r="I14" s="131">
        <f>H14*30%</f>
        <v>22.428</v>
      </c>
      <c r="J14" s="132"/>
      <c r="K14" s="131">
        <f>SUM(L14:P14)</f>
        <v>156.39000000000001</v>
      </c>
      <c r="L14" s="131">
        <v>34</v>
      </c>
      <c r="M14" s="131">
        <v>3.4</v>
      </c>
      <c r="N14" s="131">
        <v>84.93</v>
      </c>
      <c r="O14" s="131">
        <v>21.46</v>
      </c>
      <c r="P14" s="133">
        <v>12.6</v>
      </c>
      <c r="Q14" s="131">
        <f>K14-G14</f>
        <v>104.058</v>
      </c>
      <c r="R14" s="131">
        <f>(K14-O14)*10%</f>
        <v>13.493000000000002</v>
      </c>
      <c r="S14" s="131">
        <f>K14-R14-G14</f>
        <v>90.56500000000001</v>
      </c>
      <c r="T14" s="152">
        <v>104</v>
      </c>
      <c r="U14" s="152">
        <v>14</v>
      </c>
      <c r="V14" s="154">
        <f t="shared" si="1"/>
        <v>90</v>
      </c>
    </row>
    <row r="15" spans="1:22" ht="39.75" customHeight="1">
      <c r="A15" s="114" t="s">
        <v>271</v>
      </c>
      <c r="B15" s="135" t="s">
        <v>432</v>
      </c>
      <c r="C15" s="130">
        <v>163</v>
      </c>
      <c r="D15" s="130">
        <v>32</v>
      </c>
      <c r="E15" s="130">
        <v>9</v>
      </c>
      <c r="F15" s="131"/>
      <c r="G15" s="131">
        <f>H15-I15</f>
        <v>58.261</v>
      </c>
      <c r="H15" s="131">
        <v>83.23</v>
      </c>
      <c r="I15" s="131">
        <f>H15*30%</f>
        <v>24.969</v>
      </c>
      <c r="J15" s="132"/>
      <c r="K15" s="131">
        <f>SUM(L15:P15)</f>
        <v>166.75</v>
      </c>
      <c r="L15" s="131">
        <v>44.98</v>
      </c>
      <c r="M15" s="131">
        <v>3.46</v>
      </c>
      <c r="N15" s="131">
        <v>91.49</v>
      </c>
      <c r="O15" s="131">
        <v>26.82</v>
      </c>
      <c r="P15" s="133"/>
      <c r="Q15" s="131">
        <f>K15-G15</f>
        <v>108.489</v>
      </c>
      <c r="R15" s="131">
        <f>(Q15-O15)*0.1</f>
        <v>8.166900000000002</v>
      </c>
      <c r="S15" s="131">
        <f>Q15-R15</f>
        <v>100.3221</v>
      </c>
      <c r="T15" s="155">
        <v>108</v>
      </c>
      <c r="U15" s="155">
        <v>8</v>
      </c>
      <c r="V15" s="154">
        <f t="shared" si="1"/>
        <v>100</v>
      </c>
    </row>
    <row r="16" spans="1:22" ht="60.75" customHeight="1">
      <c r="A16" s="557" t="s">
        <v>340</v>
      </c>
      <c r="B16" s="558" t="s">
        <v>529</v>
      </c>
      <c r="C16" s="149"/>
      <c r="D16" s="149"/>
      <c r="E16" s="149"/>
      <c r="F16" s="149"/>
      <c r="G16" s="559"/>
      <c r="H16" s="559"/>
      <c r="I16" s="559"/>
      <c r="J16" s="149"/>
      <c r="K16" s="149"/>
      <c r="L16" s="149"/>
      <c r="M16" s="559"/>
      <c r="N16" s="559"/>
      <c r="O16" s="559"/>
      <c r="P16" s="149"/>
      <c r="Q16" s="149"/>
      <c r="R16" s="149"/>
      <c r="S16" s="149"/>
      <c r="T16" s="154">
        <v>19</v>
      </c>
      <c r="U16" s="155">
        <v>2</v>
      </c>
      <c r="V16" s="154">
        <f t="shared" si="1"/>
        <v>17</v>
      </c>
    </row>
    <row r="17" spans="1:22" ht="63" customHeight="1">
      <c r="A17" s="557" t="s">
        <v>378</v>
      </c>
      <c r="B17" s="558" t="s">
        <v>63</v>
      </c>
      <c r="C17" s="149"/>
      <c r="D17" s="149"/>
      <c r="E17" s="149"/>
      <c r="F17" s="149"/>
      <c r="G17" s="559"/>
      <c r="H17" s="559"/>
      <c r="I17" s="559"/>
      <c r="J17" s="149"/>
      <c r="K17" s="149"/>
      <c r="L17" s="149"/>
      <c r="M17" s="559"/>
      <c r="N17" s="559"/>
      <c r="O17" s="559"/>
      <c r="P17" s="149"/>
      <c r="Q17" s="149"/>
      <c r="R17" s="149"/>
      <c r="S17" s="149"/>
      <c r="T17" s="154">
        <v>19</v>
      </c>
      <c r="U17" s="155">
        <v>2</v>
      </c>
      <c r="V17" s="154">
        <f t="shared" si="1"/>
        <v>17</v>
      </c>
    </row>
    <row r="18" spans="1:22" s="141" customFormat="1" ht="33" hidden="1">
      <c r="A18" s="136" t="s">
        <v>480</v>
      </c>
      <c r="B18" s="137" t="s">
        <v>47</v>
      </c>
      <c r="C18" s="138"/>
      <c r="D18" s="138"/>
      <c r="E18" s="138"/>
      <c r="F18" s="138"/>
      <c r="G18" s="139"/>
      <c r="H18" s="139"/>
      <c r="I18" s="139"/>
      <c r="J18" s="138"/>
      <c r="K18" s="138"/>
      <c r="L18" s="138"/>
      <c r="M18" s="139"/>
      <c r="N18" s="139"/>
      <c r="O18" s="139"/>
      <c r="P18" s="138"/>
      <c r="Q18" s="138"/>
      <c r="R18" s="138"/>
      <c r="S18" s="138"/>
      <c r="T18" s="140">
        <f>SUM(T19:T23)</f>
        <v>0</v>
      </c>
      <c r="U18" s="140">
        <f>SUM(U19:U23)</f>
        <v>0</v>
      </c>
      <c r="V18" s="140">
        <f>SUM(V19:V23)</f>
        <v>0</v>
      </c>
    </row>
    <row r="19" spans="1:22" s="148" customFormat="1" ht="34.5" customHeight="1" hidden="1">
      <c r="A19" s="142"/>
      <c r="B19" s="143" t="s">
        <v>45</v>
      </c>
      <c r="C19" s="144"/>
      <c r="D19" s="145"/>
      <c r="E19" s="145"/>
      <c r="F19" s="145"/>
      <c r="G19" s="146"/>
      <c r="H19" s="146"/>
      <c r="I19" s="146"/>
      <c r="J19" s="145"/>
      <c r="K19" s="145"/>
      <c r="L19" s="145"/>
      <c r="M19" s="146"/>
      <c r="N19" s="146"/>
      <c r="O19" s="146"/>
      <c r="P19" s="145"/>
      <c r="Q19" s="145"/>
      <c r="R19" s="145"/>
      <c r="S19" s="145"/>
      <c r="T19" s="147"/>
      <c r="U19" s="145"/>
      <c r="V19" s="147">
        <f>T19-U19</f>
        <v>0</v>
      </c>
    </row>
    <row r="20" spans="1:22" ht="33" customHeight="1" hidden="1">
      <c r="A20" s="149"/>
      <c r="B20" s="143" t="s">
        <v>46</v>
      </c>
      <c r="C20" s="145"/>
      <c r="D20" s="145"/>
      <c r="E20" s="145"/>
      <c r="F20" s="145"/>
      <c r="G20" s="146"/>
      <c r="H20" s="146"/>
      <c r="I20" s="146"/>
      <c r="J20" s="145"/>
      <c r="K20" s="145"/>
      <c r="L20" s="145"/>
      <c r="M20" s="146"/>
      <c r="N20" s="146"/>
      <c r="O20" s="146"/>
      <c r="P20" s="145"/>
      <c r="Q20" s="145"/>
      <c r="R20" s="145"/>
      <c r="S20" s="145"/>
      <c r="T20" s="147"/>
      <c r="U20" s="145"/>
      <c r="V20" s="147">
        <f>T20-U20</f>
        <v>0</v>
      </c>
    </row>
    <row r="21" spans="1:22" ht="31.5" customHeight="1" hidden="1">
      <c r="A21" s="149"/>
      <c r="B21" s="143" t="s">
        <v>48</v>
      </c>
      <c r="C21" s="145"/>
      <c r="D21" s="145"/>
      <c r="E21" s="145"/>
      <c r="F21" s="145"/>
      <c r="G21" s="146"/>
      <c r="H21" s="146"/>
      <c r="I21" s="146"/>
      <c r="J21" s="145"/>
      <c r="K21" s="145"/>
      <c r="L21" s="145"/>
      <c r="M21" s="146"/>
      <c r="N21" s="146"/>
      <c r="O21" s="146"/>
      <c r="P21" s="145"/>
      <c r="Q21" s="145"/>
      <c r="R21" s="145"/>
      <c r="S21" s="145"/>
      <c r="T21" s="147"/>
      <c r="U21" s="145"/>
      <c r="V21" s="147">
        <f>T21-U21</f>
        <v>0</v>
      </c>
    </row>
    <row r="22" spans="1:22" ht="31.5" customHeight="1" hidden="1">
      <c r="A22" s="149"/>
      <c r="B22" s="143" t="s">
        <v>49</v>
      </c>
      <c r="C22" s="144"/>
      <c r="D22" s="145"/>
      <c r="E22" s="145"/>
      <c r="F22" s="145"/>
      <c r="G22" s="146"/>
      <c r="H22" s="146"/>
      <c r="I22" s="146"/>
      <c r="J22" s="145"/>
      <c r="K22" s="145"/>
      <c r="L22" s="145"/>
      <c r="M22" s="146"/>
      <c r="N22" s="146"/>
      <c r="O22" s="146"/>
      <c r="P22" s="145"/>
      <c r="Q22" s="145"/>
      <c r="R22" s="145"/>
      <c r="S22" s="145"/>
      <c r="T22" s="147"/>
      <c r="U22" s="145"/>
      <c r="V22" s="147">
        <f>T22-U22</f>
        <v>0</v>
      </c>
    </row>
    <row r="23" spans="1:22" ht="33" customHeight="1" hidden="1">
      <c r="A23" s="149"/>
      <c r="B23" s="143" t="s">
        <v>50</v>
      </c>
      <c r="C23" s="145"/>
      <c r="D23" s="145"/>
      <c r="E23" s="145"/>
      <c r="F23" s="145"/>
      <c r="G23" s="146"/>
      <c r="H23" s="146"/>
      <c r="I23" s="146"/>
      <c r="J23" s="145"/>
      <c r="K23" s="145"/>
      <c r="L23" s="145"/>
      <c r="M23" s="146"/>
      <c r="N23" s="146"/>
      <c r="O23" s="146"/>
      <c r="P23" s="145"/>
      <c r="Q23" s="145"/>
      <c r="R23" s="145"/>
      <c r="S23" s="145"/>
      <c r="T23" s="147"/>
      <c r="U23" s="145"/>
      <c r="V23" s="147">
        <f>T23-U23</f>
        <v>0</v>
      </c>
    </row>
  </sheetData>
  <sheetProtection/>
  <mergeCells count="16">
    <mergeCell ref="A8:A9"/>
    <mergeCell ref="G8:J8"/>
    <mergeCell ref="K8:P8"/>
    <mergeCell ref="S8:S9"/>
    <mergeCell ref="Q8:Q9"/>
    <mergeCell ref="R8:R9"/>
    <mergeCell ref="A4:V4"/>
    <mergeCell ref="T8:V8"/>
    <mergeCell ref="T7:V7"/>
    <mergeCell ref="A5:V5"/>
    <mergeCell ref="A6:V6"/>
    <mergeCell ref="B8:B9"/>
    <mergeCell ref="C8:C9"/>
    <mergeCell ref="D8:D9"/>
    <mergeCell ref="E8:E9"/>
    <mergeCell ref="F8:F9"/>
  </mergeCells>
  <printOptions/>
  <pageMargins left="0.46" right="0.31" top="0.3" bottom="0.3" header="0.5" footer="0.37"/>
  <pageSetup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sheetPr>
    <tabColor rgb="FF0070C0"/>
  </sheetPr>
  <dimension ref="A1:S49"/>
  <sheetViews>
    <sheetView zoomScale="120" zoomScaleNormal="120" zoomScalePageLayoutView="0" workbookViewId="0" topLeftCell="A1">
      <selection activeCell="B6" sqref="B6:S6"/>
    </sheetView>
  </sheetViews>
  <sheetFormatPr defaultColWidth="4.57421875" defaultRowHeight="18.75" customHeight="1"/>
  <cols>
    <col min="1" max="1" width="4.00390625" style="396" customWidth="1"/>
    <col min="2" max="2" width="31.28125" style="395" customWidth="1"/>
    <col min="3" max="3" width="7.421875" style="396" customWidth="1"/>
    <col min="4" max="5" width="7.7109375" style="396" customWidth="1"/>
    <col min="6" max="7" width="7.7109375" style="402" customWidth="1"/>
    <col min="8" max="8" width="8.140625" style="402" customWidth="1"/>
    <col min="9" max="19" width="7.7109375" style="402" customWidth="1"/>
    <col min="20" max="16384" width="4.57421875" style="395" customWidth="1"/>
  </cols>
  <sheetData>
    <row r="1" spans="1:19" ht="18.75" customHeight="1">
      <c r="A1" s="24" t="s">
        <v>852</v>
      </c>
      <c r="B1" s="67"/>
      <c r="C1" s="391"/>
      <c r="D1" s="392"/>
      <c r="E1" s="393"/>
      <c r="F1" s="393"/>
      <c r="G1" s="394"/>
      <c r="H1" s="967"/>
      <c r="I1" s="967"/>
      <c r="J1" s="967"/>
      <c r="K1" s="967"/>
      <c r="L1" s="967"/>
      <c r="M1" s="967"/>
      <c r="N1" s="967"/>
      <c r="O1" s="967"/>
      <c r="P1" s="967"/>
      <c r="Q1" s="967"/>
      <c r="R1" s="394"/>
      <c r="S1" s="394"/>
    </row>
    <row r="2" spans="1:19" ht="18.75" customHeight="1">
      <c r="A2" s="24" t="s">
        <v>851</v>
      </c>
      <c r="B2" s="67"/>
      <c r="C2" s="391"/>
      <c r="D2" s="392"/>
      <c r="E2" s="393"/>
      <c r="F2" s="393"/>
      <c r="G2" s="394"/>
      <c r="H2" s="396"/>
      <c r="I2" s="397"/>
      <c r="J2" s="396"/>
      <c r="K2" s="398"/>
      <c r="L2" s="397"/>
      <c r="M2" s="397"/>
      <c r="N2" s="397"/>
      <c r="O2" s="397"/>
      <c r="P2" s="397"/>
      <c r="Q2" s="397"/>
      <c r="R2" s="394"/>
      <c r="S2" s="394"/>
    </row>
    <row r="3" spans="2:19" ht="7.5" customHeight="1">
      <c r="B3" s="390"/>
      <c r="C3" s="390"/>
      <c r="D3" s="390"/>
      <c r="E3" s="390"/>
      <c r="F3" s="399"/>
      <c r="G3" s="399"/>
      <c r="H3" s="399"/>
      <c r="I3" s="399"/>
      <c r="J3" s="399"/>
      <c r="K3" s="399"/>
      <c r="L3" s="399"/>
      <c r="M3" s="399"/>
      <c r="N3" s="399"/>
      <c r="O3" s="399"/>
      <c r="P3" s="399"/>
      <c r="Q3" s="399"/>
      <c r="R3" s="399"/>
      <c r="S3" s="399"/>
    </row>
    <row r="4" spans="2:19" ht="18.75" customHeight="1">
      <c r="B4" s="969" t="s">
        <v>197</v>
      </c>
      <c r="C4" s="969"/>
      <c r="D4" s="969"/>
      <c r="E4" s="969"/>
      <c r="F4" s="969"/>
      <c r="G4" s="969"/>
      <c r="H4" s="969"/>
      <c r="I4" s="969"/>
      <c r="J4" s="969"/>
      <c r="K4" s="969"/>
      <c r="L4" s="969"/>
      <c r="M4" s="969"/>
      <c r="N4" s="969"/>
      <c r="O4" s="969"/>
      <c r="P4" s="969"/>
      <c r="Q4" s="969"/>
      <c r="R4" s="969"/>
      <c r="S4" s="969"/>
    </row>
    <row r="5" spans="2:19" ht="18.75" customHeight="1">
      <c r="B5" s="968" t="s">
        <v>844</v>
      </c>
      <c r="C5" s="968"/>
      <c r="D5" s="968"/>
      <c r="E5" s="968"/>
      <c r="F5" s="968"/>
      <c r="G5" s="968"/>
      <c r="H5" s="968"/>
      <c r="I5" s="968"/>
      <c r="J5" s="968"/>
      <c r="K5" s="968"/>
      <c r="L5" s="968"/>
      <c r="M5" s="968"/>
      <c r="N5" s="968"/>
      <c r="O5" s="968"/>
      <c r="P5" s="968"/>
      <c r="Q5" s="968"/>
      <c r="R5" s="968"/>
      <c r="S5" s="968"/>
    </row>
    <row r="6" spans="2:19" ht="18.75" customHeight="1">
      <c r="B6" s="970" t="s">
        <v>853</v>
      </c>
      <c r="C6" s="970"/>
      <c r="D6" s="970"/>
      <c r="E6" s="970"/>
      <c r="F6" s="970"/>
      <c r="G6" s="970"/>
      <c r="H6" s="970"/>
      <c r="I6" s="970"/>
      <c r="J6" s="970"/>
      <c r="K6" s="970"/>
      <c r="L6" s="970"/>
      <c r="M6" s="970"/>
      <c r="N6" s="970"/>
      <c r="O6" s="970"/>
      <c r="P6" s="970"/>
      <c r="Q6" s="970"/>
      <c r="R6" s="970"/>
      <c r="S6" s="970"/>
    </row>
    <row r="7" spans="2:19" ht="13.5" customHeight="1">
      <c r="B7" s="400"/>
      <c r="C7" s="400"/>
      <c r="D7" s="400"/>
      <c r="E7" s="401"/>
      <c r="F7" s="400"/>
      <c r="G7" s="400"/>
      <c r="H7" s="400"/>
      <c r="I7" s="400"/>
      <c r="J7" s="400"/>
      <c r="K7" s="400"/>
      <c r="L7" s="400"/>
      <c r="M7" s="400"/>
      <c r="N7" s="400"/>
      <c r="O7" s="400"/>
      <c r="P7" s="400"/>
      <c r="Q7" s="400"/>
      <c r="R7" s="400"/>
      <c r="S7" s="400"/>
    </row>
    <row r="8" spans="6:19" ht="18.75" customHeight="1">
      <c r="F8" s="399"/>
      <c r="H8" s="399"/>
      <c r="J8" s="399"/>
      <c r="L8" s="399"/>
      <c r="N8" s="399"/>
      <c r="P8" s="399"/>
      <c r="Q8" s="966" t="s">
        <v>707</v>
      </c>
      <c r="R8" s="966"/>
      <c r="S8" s="966"/>
    </row>
    <row r="9" spans="1:19" s="404" customFormat="1" ht="17.25" customHeight="1">
      <c r="A9" s="971" t="s">
        <v>266</v>
      </c>
      <c r="B9" s="971" t="s">
        <v>81</v>
      </c>
      <c r="C9" s="971" t="s">
        <v>82</v>
      </c>
      <c r="D9" s="972" t="s">
        <v>724</v>
      </c>
      <c r="E9" s="972"/>
      <c r="F9" s="972"/>
      <c r="G9" s="972"/>
      <c r="H9" s="972"/>
      <c r="I9" s="972"/>
      <c r="J9" s="972"/>
      <c r="K9" s="972"/>
      <c r="L9" s="972"/>
      <c r="M9" s="972"/>
      <c r="N9" s="972"/>
      <c r="O9" s="972"/>
      <c r="P9" s="972"/>
      <c r="Q9" s="972"/>
      <c r="R9" s="972"/>
      <c r="S9" s="972"/>
    </row>
    <row r="10" spans="1:19" s="404" customFormat="1" ht="34.5" customHeight="1">
      <c r="A10" s="971"/>
      <c r="B10" s="971"/>
      <c r="C10" s="971"/>
      <c r="D10" s="403" t="s">
        <v>297</v>
      </c>
      <c r="E10" s="405" t="s">
        <v>83</v>
      </c>
      <c r="F10" s="405" t="s">
        <v>84</v>
      </c>
      <c r="G10" s="405" t="s">
        <v>85</v>
      </c>
      <c r="H10" s="405" t="s">
        <v>86</v>
      </c>
      <c r="I10" s="405" t="s">
        <v>87</v>
      </c>
      <c r="J10" s="405" t="s">
        <v>88</v>
      </c>
      <c r="K10" s="405" t="s">
        <v>90</v>
      </c>
      <c r="L10" s="405" t="s">
        <v>91</v>
      </c>
      <c r="M10" s="405" t="s">
        <v>95</v>
      </c>
      <c r="N10" s="405" t="s">
        <v>96</v>
      </c>
      <c r="O10" s="405" t="s">
        <v>97</v>
      </c>
      <c r="P10" s="405" t="s">
        <v>89</v>
      </c>
      <c r="Q10" s="405" t="s">
        <v>92</v>
      </c>
      <c r="R10" s="405" t="s">
        <v>93</v>
      </c>
      <c r="S10" s="405" t="s">
        <v>94</v>
      </c>
    </row>
    <row r="11" spans="1:19" s="404" customFormat="1" ht="18" customHeight="1">
      <c r="A11" s="406">
        <v>1</v>
      </c>
      <c r="B11" s="406">
        <v>2</v>
      </c>
      <c r="C11" s="406">
        <v>3</v>
      </c>
      <c r="D11" s="407">
        <v>4</v>
      </c>
      <c r="E11" s="407">
        <v>5</v>
      </c>
      <c r="F11" s="407">
        <v>6</v>
      </c>
      <c r="G11" s="407">
        <v>7</v>
      </c>
      <c r="H11" s="407">
        <v>8</v>
      </c>
      <c r="I11" s="407">
        <v>9</v>
      </c>
      <c r="J11" s="407">
        <v>10</v>
      </c>
      <c r="K11" s="407">
        <v>12</v>
      </c>
      <c r="L11" s="407">
        <v>13</v>
      </c>
      <c r="M11" s="407">
        <v>17</v>
      </c>
      <c r="N11" s="407">
        <v>18</v>
      </c>
      <c r="O11" s="407">
        <v>19</v>
      </c>
      <c r="P11" s="407">
        <v>11</v>
      </c>
      <c r="Q11" s="407">
        <v>14</v>
      </c>
      <c r="R11" s="407">
        <v>15</v>
      </c>
      <c r="S11" s="407">
        <v>16</v>
      </c>
    </row>
    <row r="12" spans="1:19" s="404" customFormat="1" ht="12.75">
      <c r="A12" s="408" t="s">
        <v>267</v>
      </c>
      <c r="B12" s="408" t="s">
        <v>98</v>
      </c>
      <c r="C12" s="408"/>
      <c r="D12" s="71">
        <f>D13+D34</f>
        <v>55280</v>
      </c>
      <c r="E12" s="71">
        <f aca="true" t="shared" si="0" ref="E12:S12">E13+E34</f>
        <v>8680</v>
      </c>
      <c r="F12" s="71">
        <f t="shared" si="0"/>
        <v>5215</v>
      </c>
      <c r="G12" s="71">
        <f t="shared" si="0"/>
        <v>6185</v>
      </c>
      <c r="H12" s="71">
        <f t="shared" si="0"/>
        <v>3550</v>
      </c>
      <c r="I12" s="71">
        <f t="shared" si="0"/>
        <v>6060</v>
      </c>
      <c r="J12" s="71">
        <f t="shared" si="0"/>
        <v>1080</v>
      </c>
      <c r="K12" s="71">
        <f t="shared" si="0"/>
        <v>2895</v>
      </c>
      <c r="L12" s="71">
        <f t="shared" si="0"/>
        <v>1135</v>
      </c>
      <c r="M12" s="71">
        <f t="shared" si="0"/>
        <v>3743</v>
      </c>
      <c r="N12" s="71">
        <f t="shared" si="0"/>
        <v>2028</v>
      </c>
      <c r="O12" s="71">
        <f t="shared" si="0"/>
        <v>3252</v>
      </c>
      <c r="P12" s="71">
        <f t="shared" si="0"/>
        <v>4270</v>
      </c>
      <c r="Q12" s="71">
        <f t="shared" si="0"/>
        <v>2368</v>
      </c>
      <c r="R12" s="71">
        <f t="shared" si="0"/>
        <v>2390</v>
      </c>
      <c r="S12" s="71">
        <f t="shared" si="0"/>
        <v>2429</v>
      </c>
    </row>
    <row r="13" spans="1:19" s="404" customFormat="1" ht="12.75">
      <c r="A13" s="409" t="s">
        <v>268</v>
      </c>
      <c r="B13" s="410" t="s">
        <v>579</v>
      </c>
      <c r="C13" s="409"/>
      <c r="D13" s="383">
        <f>D14+D18+D21+D22+D23+D26+D27+D30</f>
        <v>51945</v>
      </c>
      <c r="E13" s="383">
        <f aca="true" t="shared" si="1" ref="E13:S13">E14+E18+E21+E22+E23+E26+E27+E30</f>
        <v>8680</v>
      </c>
      <c r="F13" s="383">
        <f t="shared" si="1"/>
        <v>5215</v>
      </c>
      <c r="G13" s="383">
        <f t="shared" si="1"/>
        <v>6185</v>
      </c>
      <c r="H13" s="383">
        <f t="shared" si="1"/>
        <v>3550</v>
      </c>
      <c r="I13" s="383">
        <f t="shared" si="1"/>
        <v>6060</v>
      </c>
      <c r="J13" s="383">
        <f t="shared" si="1"/>
        <v>1080</v>
      </c>
      <c r="K13" s="383">
        <f t="shared" si="1"/>
        <v>2895</v>
      </c>
      <c r="L13" s="383">
        <f t="shared" si="1"/>
        <v>1135</v>
      </c>
      <c r="M13" s="383">
        <f t="shared" si="1"/>
        <v>3743</v>
      </c>
      <c r="N13" s="383">
        <f t="shared" si="1"/>
        <v>2028</v>
      </c>
      <c r="O13" s="383">
        <f t="shared" si="1"/>
        <v>3252</v>
      </c>
      <c r="P13" s="383">
        <f t="shared" si="1"/>
        <v>1690</v>
      </c>
      <c r="Q13" s="383">
        <f t="shared" si="1"/>
        <v>1700</v>
      </c>
      <c r="R13" s="383">
        <f t="shared" si="1"/>
        <v>2390</v>
      </c>
      <c r="S13" s="383">
        <f t="shared" si="1"/>
        <v>2342</v>
      </c>
    </row>
    <row r="14" spans="1:19" s="404" customFormat="1" ht="12.75">
      <c r="A14" s="409">
        <v>1</v>
      </c>
      <c r="B14" s="411" t="s">
        <v>276</v>
      </c>
      <c r="C14" s="412"/>
      <c r="D14" s="383">
        <f>SUM(D15:D17)</f>
        <v>24125</v>
      </c>
      <c r="E14" s="383">
        <f aca="true" t="shared" si="2" ref="E14:S14">SUM(E15:E17)</f>
        <v>4895</v>
      </c>
      <c r="F14" s="383">
        <f t="shared" si="2"/>
        <v>2980</v>
      </c>
      <c r="G14" s="383">
        <f t="shared" si="2"/>
        <v>3420</v>
      </c>
      <c r="H14" s="383">
        <f t="shared" si="2"/>
        <v>1900</v>
      </c>
      <c r="I14" s="383">
        <f t="shared" si="2"/>
        <v>3270</v>
      </c>
      <c r="J14" s="383">
        <f t="shared" si="2"/>
        <v>490</v>
      </c>
      <c r="K14" s="383">
        <f t="shared" si="2"/>
        <v>1155</v>
      </c>
      <c r="L14" s="383">
        <f t="shared" si="2"/>
        <v>410</v>
      </c>
      <c r="M14" s="383">
        <f t="shared" si="2"/>
        <v>1550</v>
      </c>
      <c r="N14" s="383">
        <f t="shared" si="2"/>
        <v>700</v>
      </c>
      <c r="O14" s="383">
        <f t="shared" si="2"/>
        <v>1255</v>
      </c>
      <c r="P14" s="383">
        <f t="shared" si="2"/>
        <v>300</v>
      </c>
      <c r="Q14" s="383">
        <f t="shared" si="2"/>
        <v>625</v>
      </c>
      <c r="R14" s="383">
        <f t="shared" si="2"/>
        <v>745</v>
      </c>
      <c r="S14" s="383">
        <f t="shared" si="2"/>
        <v>430</v>
      </c>
    </row>
    <row r="15" spans="1:19" s="404" customFormat="1" ht="12.75">
      <c r="A15" s="413" t="s">
        <v>99</v>
      </c>
      <c r="B15" s="414" t="s">
        <v>100</v>
      </c>
      <c r="C15" s="415">
        <v>0.5</v>
      </c>
      <c r="D15" s="386">
        <f>SUM(E15:S15)</f>
        <v>23625</v>
      </c>
      <c r="E15" s="385">
        <v>4700</v>
      </c>
      <c r="F15" s="385">
        <v>2980</v>
      </c>
      <c r="G15" s="386">
        <v>3390</v>
      </c>
      <c r="H15" s="416">
        <v>1700</v>
      </c>
      <c r="I15" s="388">
        <v>3260</v>
      </c>
      <c r="J15" s="386">
        <v>490</v>
      </c>
      <c r="K15" s="386">
        <v>1130</v>
      </c>
      <c r="L15" s="386">
        <v>410</v>
      </c>
      <c r="M15" s="386">
        <v>1550</v>
      </c>
      <c r="N15" s="386">
        <v>700</v>
      </c>
      <c r="O15" s="386">
        <v>1250</v>
      </c>
      <c r="P15" s="386">
        <v>300</v>
      </c>
      <c r="Q15" s="386">
        <v>600</v>
      </c>
      <c r="R15" s="386">
        <v>735</v>
      </c>
      <c r="S15" s="386">
        <v>430</v>
      </c>
    </row>
    <row r="16" spans="1:19" s="404" customFormat="1" ht="12.75">
      <c r="A16" s="413" t="s">
        <v>99</v>
      </c>
      <c r="B16" s="414" t="s">
        <v>107</v>
      </c>
      <c r="C16" s="415">
        <v>0.5</v>
      </c>
      <c r="D16" s="386">
        <f>SUM(E16:S16)</f>
        <v>430</v>
      </c>
      <c r="E16" s="385">
        <v>195</v>
      </c>
      <c r="F16" s="385">
        <v>0</v>
      </c>
      <c r="G16" s="386">
        <v>30</v>
      </c>
      <c r="H16" s="387">
        <v>170</v>
      </c>
      <c r="I16" s="388">
        <v>0</v>
      </c>
      <c r="J16" s="386">
        <v>0</v>
      </c>
      <c r="K16" s="386">
        <v>15</v>
      </c>
      <c r="L16" s="386"/>
      <c r="M16" s="386"/>
      <c r="N16" s="386"/>
      <c r="O16" s="386">
        <v>5</v>
      </c>
      <c r="P16" s="386"/>
      <c r="Q16" s="386">
        <v>15</v>
      </c>
      <c r="R16" s="386"/>
      <c r="S16" s="386"/>
    </row>
    <row r="17" spans="1:19" s="404" customFormat="1" ht="12.75">
      <c r="A17" s="413" t="s">
        <v>99</v>
      </c>
      <c r="B17" s="414" t="s">
        <v>108</v>
      </c>
      <c r="C17" s="415"/>
      <c r="D17" s="386">
        <f>SUM(E17:S17)</f>
        <v>70</v>
      </c>
      <c r="E17" s="385">
        <v>0</v>
      </c>
      <c r="F17" s="385">
        <v>0</v>
      </c>
      <c r="G17" s="386">
        <v>0</v>
      </c>
      <c r="H17" s="387">
        <v>30</v>
      </c>
      <c r="I17" s="388">
        <v>10</v>
      </c>
      <c r="J17" s="386">
        <v>0</v>
      </c>
      <c r="K17" s="386">
        <v>10</v>
      </c>
      <c r="L17" s="386"/>
      <c r="M17" s="386">
        <v>0</v>
      </c>
      <c r="N17" s="386"/>
      <c r="O17" s="386">
        <v>0</v>
      </c>
      <c r="P17" s="386"/>
      <c r="Q17" s="386">
        <v>10</v>
      </c>
      <c r="R17" s="386">
        <v>10</v>
      </c>
      <c r="S17" s="386">
        <v>0</v>
      </c>
    </row>
    <row r="18" spans="1:19" s="404" customFormat="1" ht="12.75">
      <c r="A18" s="409">
        <v>2</v>
      </c>
      <c r="B18" s="411" t="s">
        <v>109</v>
      </c>
      <c r="C18" s="417"/>
      <c r="D18" s="383">
        <f>D19+D20</f>
        <v>11790</v>
      </c>
      <c r="E18" s="383">
        <f aca="true" t="shared" si="3" ref="E18:S18">E19+E20</f>
        <v>2300</v>
      </c>
      <c r="F18" s="383">
        <f t="shared" si="3"/>
        <v>1500</v>
      </c>
      <c r="G18" s="383">
        <f t="shared" si="3"/>
        <v>1800</v>
      </c>
      <c r="H18" s="383">
        <f t="shared" si="3"/>
        <v>850</v>
      </c>
      <c r="I18" s="383">
        <f t="shared" si="3"/>
        <v>1600</v>
      </c>
      <c r="J18" s="383">
        <f t="shared" si="3"/>
        <v>240</v>
      </c>
      <c r="K18" s="383">
        <f t="shared" si="3"/>
        <v>450</v>
      </c>
      <c r="L18" s="383">
        <f t="shared" si="3"/>
        <v>200</v>
      </c>
      <c r="M18" s="383">
        <f t="shared" si="3"/>
        <v>900</v>
      </c>
      <c r="N18" s="383">
        <f t="shared" si="3"/>
        <v>320</v>
      </c>
      <c r="O18" s="383">
        <f t="shared" si="3"/>
        <v>750</v>
      </c>
      <c r="P18" s="383">
        <f t="shared" si="3"/>
        <v>140</v>
      </c>
      <c r="Q18" s="383">
        <f t="shared" si="3"/>
        <v>200</v>
      </c>
      <c r="R18" s="383">
        <f t="shared" si="3"/>
        <v>350</v>
      </c>
      <c r="S18" s="383">
        <f t="shared" si="3"/>
        <v>190</v>
      </c>
    </row>
    <row r="19" spans="1:19" s="404" customFormat="1" ht="12.75">
      <c r="A19" s="413" t="s">
        <v>99</v>
      </c>
      <c r="B19" s="414" t="s">
        <v>110</v>
      </c>
      <c r="C19" s="415"/>
      <c r="D19" s="386">
        <f>SUM(E19:S19)</f>
        <v>11790</v>
      </c>
      <c r="E19" s="385">
        <v>2300</v>
      </c>
      <c r="F19" s="386">
        <v>1500</v>
      </c>
      <c r="G19" s="386">
        <v>1800</v>
      </c>
      <c r="H19" s="386">
        <v>850</v>
      </c>
      <c r="I19" s="388">
        <v>1600</v>
      </c>
      <c r="J19" s="386">
        <v>240</v>
      </c>
      <c r="K19" s="386">
        <v>450</v>
      </c>
      <c r="L19" s="386">
        <v>200</v>
      </c>
      <c r="M19" s="386">
        <v>900</v>
      </c>
      <c r="N19" s="386">
        <v>320</v>
      </c>
      <c r="O19" s="386">
        <v>750</v>
      </c>
      <c r="P19" s="386">
        <v>140</v>
      </c>
      <c r="Q19" s="386">
        <v>200</v>
      </c>
      <c r="R19" s="386">
        <v>350</v>
      </c>
      <c r="S19" s="386">
        <v>190</v>
      </c>
    </row>
    <row r="20" spans="1:19" s="404" customFormat="1" ht="12.75" hidden="1">
      <c r="A20" s="413" t="s">
        <v>99</v>
      </c>
      <c r="B20" s="414" t="s">
        <v>111</v>
      </c>
      <c r="C20" s="415"/>
      <c r="D20" s="386">
        <f>SUM(E20:S20)</f>
        <v>0</v>
      </c>
      <c r="E20" s="385">
        <v>0</v>
      </c>
      <c r="F20" s="386">
        <v>0</v>
      </c>
      <c r="G20" s="386">
        <v>0</v>
      </c>
      <c r="H20" s="386">
        <v>0</v>
      </c>
      <c r="I20" s="388">
        <v>0</v>
      </c>
      <c r="J20" s="386">
        <v>0</v>
      </c>
      <c r="K20" s="386">
        <v>0</v>
      </c>
      <c r="L20" s="386">
        <v>0</v>
      </c>
      <c r="M20" s="386">
        <v>0</v>
      </c>
      <c r="N20" s="386">
        <v>0</v>
      </c>
      <c r="O20" s="386">
        <v>0</v>
      </c>
      <c r="P20" s="386">
        <v>0</v>
      </c>
      <c r="Q20" s="386">
        <v>0</v>
      </c>
      <c r="R20" s="386">
        <v>0</v>
      </c>
      <c r="S20" s="386">
        <v>0</v>
      </c>
    </row>
    <row r="21" spans="1:19" s="404" customFormat="1" ht="12.75">
      <c r="A21" s="409">
        <v>3</v>
      </c>
      <c r="B21" s="411" t="s">
        <v>112</v>
      </c>
      <c r="C21" s="415"/>
      <c r="D21" s="386">
        <v>0</v>
      </c>
      <c r="E21" s="385"/>
      <c r="F21" s="386"/>
      <c r="G21" s="386"/>
      <c r="H21" s="386"/>
      <c r="I21" s="388"/>
      <c r="J21" s="386"/>
      <c r="K21" s="386"/>
      <c r="L21" s="386"/>
      <c r="M21" s="386"/>
      <c r="N21" s="386"/>
      <c r="O21" s="386"/>
      <c r="P21" s="386"/>
      <c r="Q21" s="386"/>
      <c r="R21" s="386"/>
      <c r="S21" s="386"/>
    </row>
    <row r="22" spans="1:19" s="404" customFormat="1" ht="12.75">
      <c r="A22" s="409">
        <v>4</v>
      </c>
      <c r="B22" s="411" t="s">
        <v>113</v>
      </c>
      <c r="C22" s="415">
        <v>0.5</v>
      </c>
      <c r="D22" s="383">
        <f>SUM(E22:S22)</f>
        <v>8740</v>
      </c>
      <c r="E22" s="384">
        <v>350</v>
      </c>
      <c r="F22" s="383">
        <v>70</v>
      </c>
      <c r="G22" s="383">
        <v>250</v>
      </c>
      <c r="H22" s="383">
        <v>240</v>
      </c>
      <c r="I22" s="389">
        <v>200</v>
      </c>
      <c r="J22" s="383">
        <v>130</v>
      </c>
      <c r="K22" s="383">
        <v>700</v>
      </c>
      <c r="L22" s="383">
        <v>400</v>
      </c>
      <c r="M22" s="383">
        <v>900</v>
      </c>
      <c r="N22" s="383">
        <v>700</v>
      </c>
      <c r="O22" s="383">
        <v>750</v>
      </c>
      <c r="P22" s="383">
        <v>950</v>
      </c>
      <c r="Q22" s="383">
        <v>700</v>
      </c>
      <c r="R22" s="383">
        <v>900</v>
      </c>
      <c r="S22" s="383">
        <v>1500</v>
      </c>
    </row>
    <row r="23" spans="1:19" s="404" customFormat="1" ht="12.75">
      <c r="A23" s="409">
        <v>5</v>
      </c>
      <c r="B23" s="411" t="s">
        <v>114</v>
      </c>
      <c r="C23" s="417"/>
      <c r="D23" s="383">
        <f>D24+D25</f>
        <v>4000</v>
      </c>
      <c r="E23" s="383">
        <f aca="true" t="shared" si="4" ref="E23:S23">E24+E25</f>
        <v>650</v>
      </c>
      <c r="F23" s="383">
        <f t="shared" si="4"/>
        <v>330</v>
      </c>
      <c r="G23" s="383">
        <f t="shared" si="4"/>
        <v>440</v>
      </c>
      <c r="H23" s="383">
        <f t="shared" si="4"/>
        <v>340</v>
      </c>
      <c r="I23" s="383">
        <f t="shared" si="4"/>
        <v>620</v>
      </c>
      <c r="J23" s="383">
        <f t="shared" si="4"/>
        <v>135</v>
      </c>
      <c r="K23" s="383">
        <f t="shared" si="4"/>
        <v>400</v>
      </c>
      <c r="L23" s="383">
        <f t="shared" si="4"/>
        <v>50</v>
      </c>
      <c r="M23" s="383">
        <f t="shared" si="4"/>
        <v>195</v>
      </c>
      <c r="N23" s="383">
        <f t="shared" si="4"/>
        <v>135</v>
      </c>
      <c r="O23" s="383">
        <f t="shared" si="4"/>
        <v>230</v>
      </c>
      <c r="P23" s="383">
        <f t="shared" si="4"/>
        <v>160</v>
      </c>
      <c r="Q23" s="383">
        <f t="shared" si="4"/>
        <v>85</v>
      </c>
      <c r="R23" s="383">
        <f t="shared" si="4"/>
        <v>180</v>
      </c>
      <c r="S23" s="383">
        <f t="shared" si="4"/>
        <v>50</v>
      </c>
    </row>
    <row r="24" spans="1:19" s="404" customFormat="1" ht="12.75">
      <c r="A24" s="413" t="s">
        <v>99</v>
      </c>
      <c r="B24" s="414" t="s">
        <v>115</v>
      </c>
      <c r="C24" s="415">
        <v>1</v>
      </c>
      <c r="D24" s="386">
        <f>SUM(E24:S24)</f>
        <v>4000</v>
      </c>
      <c r="E24" s="385">
        <v>650</v>
      </c>
      <c r="F24" s="386">
        <v>330</v>
      </c>
      <c r="G24" s="386">
        <v>440</v>
      </c>
      <c r="H24" s="386">
        <v>340</v>
      </c>
      <c r="I24" s="388">
        <v>620</v>
      </c>
      <c r="J24" s="386">
        <v>135</v>
      </c>
      <c r="K24" s="386">
        <v>400</v>
      </c>
      <c r="L24" s="386">
        <v>50</v>
      </c>
      <c r="M24" s="386">
        <v>195</v>
      </c>
      <c r="N24" s="386">
        <v>135</v>
      </c>
      <c r="O24" s="386">
        <v>230</v>
      </c>
      <c r="P24" s="386">
        <v>160</v>
      </c>
      <c r="Q24" s="386">
        <v>85</v>
      </c>
      <c r="R24" s="386">
        <v>180</v>
      </c>
      <c r="S24" s="386">
        <v>50</v>
      </c>
    </row>
    <row r="25" spans="1:19" s="404" customFormat="1" ht="12.75" hidden="1">
      <c r="A25" s="413" t="s">
        <v>99</v>
      </c>
      <c r="B25" s="414" t="s">
        <v>116</v>
      </c>
      <c r="C25" s="415"/>
      <c r="D25" s="386">
        <f>SUM(E25:S25)</f>
        <v>0</v>
      </c>
      <c r="E25" s="385"/>
      <c r="F25" s="386"/>
      <c r="G25" s="386"/>
      <c r="H25" s="386"/>
      <c r="I25" s="388"/>
      <c r="J25" s="386"/>
      <c r="K25" s="386"/>
      <c r="L25" s="386"/>
      <c r="M25" s="386"/>
      <c r="N25" s="386"/>
      <c r="O25" s="386"/>
      <c r="P25" s="386"/>
      <c r="Q25" s="386"/>
      <c r="R25" s="386"/>
      <c r="S25" s="386"/>
    </row>
    <row r="26" spans="1:19" s="404" customFormat="1" ht="12.75">
      <c r="A26" s="409">
        <v>6</v>
      </c>
      <c r="B26" s="418" t="s">
        <v>198</v>
      </c>
      <c r="C26" s="415"/>
      <c r="D26" s="386">
        <v>0</v>
      </c>
      <c r="E26" s="384"/>
      <c r="F26" s="383"/>
      <c r="G26" s="383"/>
      <c r="H26" s="383"/>
      <c r="I26" s="389"/>
      <c r="J26" s="383"/>
      <c r="K26" s="383"/>
      <c r="L26" s="383"/>
      <c r="M26" s="383"/>
      <c r="N26" s="383"/>
      <c r="O26" s="383"/>
      <c r="P26" s="383"/>
      <c r="Q26" s="383"/>
      <c r="R26" s="383"/>
      <c r="S26" s="383"/>
    </row>
    <row r="27" spans="1:19" s="404" customFormat="1" ht="12.75">
      <c r="A27" s="409">
        <v>7</v>
      </c>
      <c r="B27" s="411" t="s">
        <v>117</v>
      </c>
      <c r="C27" s="419"/>
      <c r="D27" s="383">
        <f>D28+D29</f>
        <v>2825</v>
      </c>
      <c r="E27" s="383">
        <f aca="true" t="shared" si="5" ref="E27:S27">E28+E29</f>
        <v>435</v>
      </c>
      <c r="F27" s="383">
        <f t="shared" si="5"/>
        <v>305</v>
      </c>
      <c r="G27" s="383">
        <f t="shared" si="5"/>
        <v>250</v>
      </c>
      <c r="H27" s="383">
        <f t="shared" si="5"/>
        <v>200</v>
      </c>
      <c r="I27" s="383">
        <f t="shared" si="5"/>
        <v>340</v>
      </c>
      <c r="J27" s="383">
        <f t="shared" si="5"/>
        <v>70</v>
      </c>
      <c r="K27" s="383">
        <f t="shared" si="5"/>
        <v>150</v>
      </c>
      <c r="L27" s="383">
        <f t="shared" si="5"/>
        <v>55</v>
      </c>
      <c r="M27" s="383">
        <f t="shared" si="5"/>
        <v>158</v>
      </c>
      <c r="N27" s="383">
        <f t="shared" si="5"/>
        <v>153</v>
      </c>
      <c r="O27" s="383">
        <f t="shared" si="5"/>
        <v>212</v>
      </c>
      <c r="P27" s="383">
        <f t="shared" si="5"/>
        <v>110</v>
      </c>
      <c r="Q27" s="383">
        <f t="shared" si="5"/>
        <v>70</v>
      </c>
      <c r="R27" s="383">
        <f t="shared" si="5"/>
        <v>185</v>
      </c>
      <c r="S27" s="383">
        <f t="shared" si="5"/>
        <v>132</v>
      </c>
    </row>
    <row r="28" spans="1:19" s="404" customFormat="1" ht="12.75">
      <c r="A28" s="409"/>
      <c r="B28" s="414" t="s">
        <v>117</v>
      </c>
      <c r="C28" s="415">
        <v>1</v>
      </c>
      <c r="D28" s="386">
        <f>SUM(E28:S28)</f>
        <v>1420</v>
      </c>
      <c r="E28" s="385">
        <v>150</v>
      </c>
      <c r="F28" s="385">
        <v>145</v>
      </c>
      <c r="G28" s="385">
        <v>100</v>
      </c>
      <c r="H28" s="385">
        <v>90</v>
      </c>
      <c r="I28" s="385">
        <v>105</v>
      </c>
      <c r="J28" s="385">
        <v>45</v>
      </c>
      <c r="K28" s="385">
        <v>90</v>
      </c>
      <c r="L28" s="385">
        <v>30</v>
      </c>
      <c r="M28" s="385">
        <v>75</v>
      </c>
      <c r="N28" s="385">
        <v>110</v>
      </c>
      <c r="O28" s="385">
        <v>130</v>
      </c>
      <c r="P28" s="385">
        <v>90</v>
      </c>
      <c r="Q28" s="385">
        <v>40</v>
      </c>
      <c r="R28" s="385">
        <v>120</v>
      </c>
      <c r="S28" s="385">
        <v>100</v>
      </c>
    </row>
    <row r="29" spans="1:19" s="404" customFormat="1" ht="12.75">
      <c r="A29" s="420" t="s">
        <v>99</v>
      </c>
      <c r="B29" s="414" t="s">
        <v>118</v>
      </c>
      <c r="C29" s="415">
        <v>1</v>
      </c>
      <c r="D29" s="386">
        <f>SUM(E29:S29)</f>
        <v>1405</v>
      </c>
      <c r="E29" s="385">
        <v>285</v>
      </c>
      <c r="F29" s="385">
        <v>160</v>
      </c>
      <c r="G29" s="385">
        <v>150</v>
      </c>
      <c r="H29" s="385">
        <v>110</v>
      </c>
      <c r="I29" s="385">
        <v>235</v>
      </c>
      <c r="J29" s="385">
        <v>25</v>
      </c>
      <c r="K29" s="385">
        <v>60</v>
      </c>
      <c r="L29" s="385">
        <v>25</v>
      </c>
      <c r="M29" s="385">
        <v>83</v>
      </c>
      <c r="N29" s="385">
        <v>43</v>
      </c>
      <c r="O29" s="385">
        <v>82</v>
      </c>
      <c r="P29" s="385">
        <v>20</v>
      </c>
      <c r="Q29" s="385">
        <v>30</v>
      </c>
      <c r="R29" s="385">
        <v>65</v>
      </c>
      <c r="S29" s="385">
        <v>32</v>
      </c>
    </row>
    <row r="30" spans="1:19" s="404" customFormat="1" ht="12.75">
      <c r="A30" s="409">
        <v>8</v>
      </c>
      <c r="B30" s="411" t="s">
        <v>119</v>
      </c>
      <c r="C30" s="417"/>
      <c r="D30" s="383">
        <f>SUM(D31:D33)</f>
        <v>465</v>
      </c>
      <c r="E30" s="383">
        <f aca="true" t="shared" si="6" ref="E30:S30">SUM(E31:E33)</f>
        <v>50</v>
      </c>
      <c r="F30" s="383">
        <f t="shared" si="6"/>
        <v>30</v>
      </c>
      <c r="G30" s="383">
        <f t="shared" si="6"/>
        <v>25</v>
      </c>
      <c r="H30" s="383">
        <f t="shared" si="6"/>
        <v>20</v>
      </c>
      <c r="I30" s="383">
        <f t="shared" si="6"/>
        <v>30</v>
      </c>
      <c r="J30" s="383">
        <f t="shared" si="6"/>
        <v>15</v>
      </c>
      <c r="K30" s="383">
        <f t="shared" si="6"/>
        <v>40</v>
      </c>
      <c r="L30" s="383">
        <f t="shared" si="6"/>
        <v>20</v>
      </c>
      <c r="M30" s="383">
        <f t="shared" si="6"/>
        <v>40</v>
      </c>
      <c r="N30" s="383">
        <f t="shared" si="6"/>
        <v>20</v>
      </c>
      <c r="O30" s="383">
        <f t="shared" si="6"/>
        <v>55</v>
      </c>
      <c r="P30" s="383">
        <f t="shared" si="6"/>
        <v>30</v>
      </c>
      <c r="Q30" s="383">
        <f t="shared" si="6"/>
        <v>20</v>
      </c>
      <c r="R30" s="383">
        <f t="shared" si="6"/>
        <v>30</v>
      </c>
      <c r="S30" s="383">
        <f t="shared" si="6"/>
        <v>40</v>
      </c>
    </row>
    <row r="31" spans="1:19" s="404" customFormat="1" ht="12.75">
      <c r="A31" s="413" t="s">
        <v>99</v>
      </c>
      <c r="B31" s="421" t="s">
        <v>166</v>
      </c>
      <c r="C31" s="415">
        <v>1</v>
      </c>
      <c r="D31" s="386">
        <f>SUM(E31:S31)</f>
        <v>465</v>
      </c>
      <c r="E31" s="385">
        <v>50</v>
      </c>
      <c r="F31" s="386">
        <v>30</v>
      </c>
      <c r="G31" s="386">
        <v>25</v>
      </c>
      <c r="H31" s="385">
        <v>20</v>
      </c>
      <c r="I31" s="388">
        <v>30</v>
      </c>
      <c r="J31" s="385">
        <v>15</v>
      </c>
      <c r="K31" s="386">
        <v>40</v>
      </c>
      <c r="L31" s="386">
        <v>20</v>
      </c>
      <c r="M31" s="386">
        <v>40</v>
      </c>
      <c r="N31" s="386">
        <v>20</v>
      </c>
      <c r="O31" s="386">
        <v>55</v>
      </c>
      <c r="P31" s="386">
        <v>30</v>
      </c>
      <c r="Q31" s="386">
        <v>20</v>
      </c>
      <c r="R31" s="386">
        <v>30</v>
      </c>
      <c r="S31" s="386">
        <v>40</v>
      </c>
    </row>
    <row r="32" spans="1:19" s="404" customFormat="1" ht="12.75" hidden="1">
      <c r="A32" s="413" t="s">
        <v>99</v>
      </c>
      <c r="B32" s="414" t="s">
        <v>120</v>
      </c>
      <c r="C32" s="415">
        <v>1</v>
      </c>
      <c r="D32" s="386">
        <f>SUM(E32:S32)</f>
        <v>0</v>
      </c>
      <c r="E32" s="385"/>
      <c r="F32" s="386"/>
      <c r="G32" s="386"/>
      <c r="H32" s="386"/>
      <c r="I32" s="388"/>
      <c r="J32" s="386"/>
      <c r="K32" s="386"/>
      <c r="L32" s="386"/>
      <c r="M32" s="386"/>
      <c r="N32" s="386"/>
      <c r="O32" s="386"/>
      <c r="P32" s="386"/>
      <c r="Q32" s="386"/>
      <c r="R32" s="386"/>
      <c r="S32" s="386"/>
    </row>
    <row r="33" spans="1:19" s="404" customFormat="1" ht="12.75" hidden="1">
      <c r="A33" s="413"/>
      <c r="B33" s="414" t="s">
        <v>167</v>
      </c>
      <c r="C33" s="415">
        <v>1</v>
      </c>
      <c r="D33" s="386">
        <f>SUM(E33:S33)</f>
        <v>0</v>
      </c>
      <c r="E33" s="385"/>
      <c r="F33" s="386"/>
      <c r="G33" s="386"/>
      <c r="H33" s="386"/>
      <c r="I33" s="388"/>
      <c r="J33" s="386"/>
      <c r="K33" s="386"/>
      <c r="L33" s="386"/>
      <c r="M33" s="386"/>
      <c r="N33" s="386"/>
      <c r="O33" s="386"/>
      <c r="P33" s="386"/>
      <c r="Q33" s="386"/>
      <c r="R33" s="386"/>
      <c r="S33" s="386"/>
    </row>
    <row r="34" spans="1:19" s="404" customFormat="1" ht="12.75">
      <c r="A34" s="409" t="s">
        <v>269</v>
      </c>
      <c r="B34" s="411" t="s">
        <v>168</v>
      </c>
      <c r="C34" s="417"/>
      <c r="D34" s="389">
        <f aca="true" t="shared" si="7" ref="D34:D39">SUM(E34:S34)</f>
        <v>3335</v>
      </c>
      <c r="E34" s="422">
        <f>E35</f>
        <v>0</v>
      </c>
      <c r="F34" s="422">
        <f aca="true" t="shared" si="8" ref="F34:S34">F35</f>
        <v>0</v>
      </c>
      <c r="G34" s="422">
        <f t="shared" si="8"/>
        <v>0</v>
      </c>
      <c r="H34" s="422">
        <f t="shared" si="8"/>
        <v>0</v>
      </c>
      <c r="I34" s="422">
        <f t="shared" si="8"/>
        <v>0</v>
      </c>
      <c r="J34" s="422">
        <f t="shared" si="8"/>
        <v>0</v>
      </c>
      <c r="K34" s="422">
        <f>K35</f>
        <v>0</v>
      </c>
      <c r="L34" s="422">
        <f>L35</f>
        <v>0</v>
      </c>
      <c r="M34" s="422">
        <f>M35</f>
        <v>0</v>
      </c>
      <c r="N34" s="422">
        <f>N35</f>
        <v>0</v>
      </c>
      <c r="O34" s="422">
        <f>O35</f>
        <v>0</v>
      </c>
      <c r="P34" s="389">
        <f t="shared" si="8"/>
        <v>2580</v>
      </c>
      <c r="Q34" s="389">
        <f t="shared" si="8"/>
        <v>668</v>
      </c>
      <c r="R34" s="389">
        <f t="shared" si="8"/>
        <v>0</v>
      </c>
      <c r="S34" s="389">
        <f t="shared" si="8"/>
        <v>87</v>
      </c>
    </row>
    <row r="35" spans="1:19" s="404" customFormat="1" ht="15" customHeight="1">
      <c r="A35" s="413"/>
      <c r="B35" s="421" t="s">
        <v>121</v>
      </c>
      <c r="C35" s="415"/>
      <c r="D35" s="388">
        <f t="shared" si="7"/>
        <v>3335</v>
      </c>
      <c r="E35" s="388"/>
      <c r="F35" s="388"/>
      <c r="G35" s="388"/>
      <c r="H35" s="388"/>
      <c r="I35" s="388"/>
      <c r="J35" s="388"/>
      <c r="K35" s="388"/>
      <c r="L35" s="388"/>
      <c r="M35" s="388"/>
      <c r="N35" s="388"/>
      <c r="O35" s="388"/>
      <c r="P35" s="388">
        <v>2580</v>
      </c>
      <c r="Q35" s="388">
        <v>668</v>
      </c>
      <c r="R35" s="388"/>
      <c r="S35" s="388">
        <v>87</v>
      </c>
    </row>
    <row r="36" spans="1:19" s="404" customFormat="1" ht="20.25" customHeight="1">
      <c r="A36" s="423" t="s">
        <v>122</v>
      </c>
      <c r="B36" s="424" t="s">
        <v>123</v>
      </c>
      <c r="C36" s="425"/>
      <c r="D36" s="389">
        <f t="shared" si="7"/>
        <v>0</v>
      </c>
      <c r="E36" s="426"/>
      <c r="F36" s="426"/>
      <c r="G36" s="426"/>
      <c r="H36" s="426"/>
      <c r="I36" s="426"/>
      <c r="J36" s="426"/>
      <c r="K36" s="426"/>
      <c r="L36" s="426"/>
      <c r="M36" s="426"/>
      <c r="N36" s="426"/>
      <c r="O36" s="426"/>
      <c r="P36" s="426"/>
      <c r="Q36" s="426"/>
      <c r="R36" s="426"/>
      <c r="S36" s="426"/>
    </row>
    <row r="37" spans="1:19" s="404" customFormat="1" ht="12.75">
      <c r="A37" s="409" t="s">
        <v>268</v>
      </c>
      <c r="B37" s="411" t="s">
        <v>580</v>
      </c>
      <c r="C37" s="417"/>
      <c r="D37" s="389">
        <f t="shared" si="7"/>
        <v>110352</v>
      </c>
      <c r="E37" s="422">
        <f>SUM(E38:E39)</f>
        <v>8023</v>
      </c>
      <c r="F37" s="422">
        <f aca="true" t="shared" si="9" ref="F37:S37">SUM(F38:F39)</f>
        <v>7065</v>
      </c>
      <c r="G37" s="422">
        <f t="shared" si="9"/>
        <v>7311</v>
      </c>
      <c r="H37" s="422">
        <f t="shared" si="9"/>
        <v>7145</v>
      </c>
      <c r="I37" s="422">
        <f t="shared" si="9"/>
        <v>7096</v>
      </c>
      <c r="J37" s="422">
        <f t="shared" si="9"/>
        <v>6093</v>
      </c>
      <c r="K37" s="422">
        <f>SUM(K38:K39)</f>
        <v>7958</v>
      </c>
      <c r="L37" s="422">
        <f>SUM(L38:L39)</f>
        <v>6653</v>
      </c>
      <c r="M37" s="422">
        <f>SUM(M38:M39)</f>
        <v>7508</v>
      </c>
      <c r="N37" s="422">
        <f>SUM(N38:N39)</f>
        <v>6817</v>
      </c>
      <c r="O37" s="422">
        <f>SUM(O38:O39)</f>
        <v>7128</v>
      </c>
      <c r="P37" s="422">
        <f t="shared" si="9"/>
        <v>8285</v>
      </c>
      <c r="Q37" s="422">
        <f t="shared" si="9"/>
        <v>7246</v>
      </c>
      <c r="R37" s="422">
        <f t="shared" si="9"/>
        <v>8227</v>
      </c>
      <c r="S37" s="422">
        <f t="shared" si="9"/>
        <v>7797</v>
      </c>
    </row>
    <row r="38" spans="1:19" s="404" customFormat="1" ht="13.5" customHeight="1">
      <c r="A38" s="413">
        <v>1</v>
      </c>
      <c r="B38" s="421" t="s">
        <v>124</v>
      </c>
      <c r="C38" s="427"/>
      <c r="D38" s="388">
        <f>SUM(E38:S38)</f>
        <v>23685</v>
      </c>
      <c r="E38" s="388">
        <v>3757</v>
      </c>
      <c r="F38" s="388">
        <v>2190</v>
      </c>
      <c r="G38" s="388">
        <v>2550</v>
      </c>
      <c r="H38" s="388">
        <v>1615</v>
      </c>
      <c r="I38" s="388">
        <v>2720</v>
      </c>
      <c r="J38" s="388">
        <v>530</v>
      </c>
      <c r="K38" s="388">
        <v>1512</v>
      </c>
      <c r="L38" s="388">
        <v>530</v>
      </c>
      <c r="M38" s="388">
        <v>1618</v>
      </c>
      <c r="N38" s="388">
        <v>1008</v>
      </c>
      <c r="O38" s="388">
        <v>1499</v>
      </c>
      <c r="P38" s="388">
        <v>925</v>
      </c>
      <c r="Q38" s="388">
        <v>832</v>
      </c>
      <c r="R38" s="388">
        <v>1212</v>
      </c>
      <c r="S38" s="388">
        <v>1187</v>
      </c>
    </row>
    <row r="39" spans="1:19" s="404" customFormat="1" ht="15" customHeight="1">
      <c r="A39" s="413">
        <v>2</v>
      </c>
      <c r="B39" s="421" t="s">
        <v>530</v>
      </c>
      <c r="C39" s="413"/>
      <c r="D39" s="388">
        <f t="shared" si="7"/>
        <v>86667</v>
      </c>
      <c r="E39" s="388">
        <v>4266</v>
      </c>
      <c r="F39" s="388">
        <v>4875</v>
      </c>
      <c r="G39" s="388">
        <v>4761</v>
      </c>
      <c r="H39" s="388">
        <v>5530</v>
      </c>
      <c r="I39" s="388">
        <v>4376</v>
      </c>
      <c r="J39" s="388">
        <v>5563</v>
      </c>
      <c r="K39" s="388">
        <v>6446</v>
      </c>
      <c r="L39" s="388">
        <v>6123</v>
      </c>
      <c r="M39" s="388">
        <v>5890</v>
      </c>
      <c r="N39" s="388">
        <v>5809</v>
      </c>
      <c r="O39" s="388">
        <v>5629</v>
      </c>
      <c r="P39" s="388">
        <v>7360</v>
      </c>
      <c r="Q39" s="388">
        <v>6414</v>
      </c>
      <c r="R39" s="388">
        <v>7015</v>
      </c>
      <c r="S39" s="388">
        <v>6610</v>
      </c>
    </row>
    <row r="40" spans="1:19" s="404" customFormat="1" ht="12.75" hidden="1">
      <c r="A40" s="409"/>
      <c r="B40" s="411"/>
      <c r="C40" s="412"/>
      <c r="D40" s="389"/>
      <c r="E40" s="422"/>
      <c r="F40" s="422"/>
      <c r="G40" s="422"/>
      <c r="H40" s="422"/>
      <c r="I40" s="422"/>
      <c r="J40" s="422"/>
      <c r="K40" s="422"/>
      <c r="L40" s="422"/>
      <c r="M40" s="422"/>
      <c r="N40" s="422"/>
      <c r="O40" s="422"/>
      <c r="P40" s="422"/>
      <c r="Q40" s="422"/>
      <c r="R40" s="422"/>
      <c r="S40" s="422"/>
    </row>
    <row r="41" spans="1:19" s="404" customFormat="1" ht="12.75">
      <c r="A41" s="409" t="s">
        <v>270</v>
      </c>
      <c r="B41" s="411" t="s">
        <v>125</v>
      </c>
      <c r="C41" s="409"/>
      <c r="D41" s="389">
        <f>D42</f>
        <v>110352</v>
      </c>
      <c r="E41" s="389">
        <f aca="true" t="shared" si="10" ref="E41:S41">E42</f>
        <v>8023</v>
      </c>
      <c r="F41" s="389">
        <f t="shared" si="10"/>
        <v>7065</v>
      </c>
      <c r="G41" s="389">
        <f t="shared" si="10"/>
        <v>7311</v>
      </c>
      <c r="H41" s="389">
        <f t="shared" si="10"/>
        <v>7145</v>
      </c>
      <c r="I41" s="389">
        <f t="shared" si="10"/>
        <v>7096</v>
      </c>
      <c r="J41" s="389">
        <f t="shared" si="10"/>
        <v>6093</v>
      </c>
      <c r="K41" s="389">
        <f t="shared" si="10"/>
        <v>7958</v>
      </c>
      <c r="L41" s="389">
        <f t="shared" si="10"/>
        <v>6653</v>
      </c>
      <c r="M41" s="389">
        <f t="shared" si="10"/>
        <v>7508</v>
      </c>
      <c r="N41" s="389">
        <f t="shared" si="10"/>
        <v>6817</v>
      </c>
      <c r="O41" s="389">
        <f t="shared" si="10"/>
        <v>7128</v>
      </c>
      <c r="P41" s="389">
        <f t="shared" si="10"/>
        <v>8285</v>
      </c>
      <c r="Q41" s="389">
        <f t="shared" si="10"/>
        <v>7246</v>
      </c>
      <c r="R41" s="389">
        <f t="shared" si="10"/>
        <v>8227</v>
      </c>
      <c r="S41" s="389">
        <f t="shared" si="10"/>
        <v>7797</v>
      </c>
    </row>
    <row r="42" spans="1:19" s="404" customFormat="1" ht="12.75">
      <c r="A42" s="428" t="s">
        <v>269</v>
      </c>
      <c r="B42" s="429" t="s">
        <v>101</v>
      </c>
      <c r="C42" s="428"/>
      <c r="D42" s="389">
        <f>D43+D44</f>
        <v>110352</v>
      </c>
      <c r="E42" s="389">
        <f aca="true" t="shared" si="11" ref="E42:S42">E43+E44</f>
        <v>8023</v>
      </c>
      <c r="F42" s="389">
        <f t="shared" si="11"/>
        <v>7065</v>
      </c>
      <c r="G42" s="389">
        <f t="shared" si="11"/>
        <v>7311</v>
      </c>
      <c r="H42" s="389">
        <f t="shared" si="11"/>
        <v>7145</v>
      </c>
      <c r="I42" s="389">
        <f t="shared" si="11"/>
        <v>7096</v>
      </c>
      <c r="J42" s="389">
        <f t="shared" si="11"/>
        <v>6093</v>
      </c>
      <c r="K42" s="389">
        <f t="shared" si="11"/>
        <v>7958</v>
      </c>
      <c r="L42" s="389">
        <f t="shared" si="11"/>
        <v>6653</v>
      </c>
      <c r="M42" s="389">
        <f t="shared" si="11"/>
        <v>7508</v>
      </c>
      <c r="N42" s="389">
        <f t="shared" si="11"/>
        <v>6817</v>
      </c>
      <c r="O42" s="389">
        <f t="shared" si="11"/>
        <v>7128</v>
      </c>
      <c r="P42" s="389">
        <f t="shared" si="11"/>
        <v>8285</v>
      </c>
      <c r="Q42" s="389">
        <f t="shared" si="11"/>
        <v>7246</v>
      </c>
      <c r="R42" s="389">
        <f t="shared" si="11"/>
        <v>8227</v>
      </c>
      <c r="S42" s="389">
        <f t="shared" si="11"/>
        <v>7797</v>
      </c>
    </row>
    <row r="43" spans="1:19" s="404" customFormat="1" ht="12.75">
      <c r="A43" s="430">
        <v>1</v>
      </c>
      <c r="B43" s="431" t="s">
        <v>102</v>
      </c>
      <c r="C43" s="428"/>
      <c r="D43" s="388">
        <f>SUM(E43:S43)</f>
        <v>108127</v>
      </c>
      <c r="E43" s="432">
        <v>7861</v>
      </c>
      <c r="F43" s="432">
        <v>6922</v>
      </c>
      <c r="G43" s="432">
        <v>7164</v>
      </c>
      <c r="H43" s="432">
        <v>7001</v>
      </c>
      <c r="I43" s="432">
        <v>6953</v>
      </c>
      <c r="J43" s="432">
        <v>5970</v>
      </c>
      <c r="K43" s="432">
        <v>7798</v>
      </c>
      <c r="L43" s="432">
        <v>6520</v>
      </c>
      <c r="M43" s="432">
        <v>7356</v>
      </c>
      <c r="N43" s="432">
        <v>6679</v>
      </c>
      <c r="O43" s="432">
        <v>6984</v>
      </c>
      <c r="P43" s="432">
        <v>8118</v>
      </c>
      <c r="Q43" s="432">
        <v>7100</v>
      </c>
      <c r="R43" s="432">
        <v>8061</v>
      </c>
      <c r="S43" s="432">
        <v>7640</v>
      </c>
    </row>
    <row r="44" spans="1:19" s="404" customFormat="1" ht="12.75">
      <c r="A44" s="430">
        <v>2</v>
      </c>
      <c r="B44" s="431" t="s">
        <v>341</v>
      </c>
      <c r="C44" s="428"/>
      <c r="D44" s="388">
        <f>SUM(E44:S44)</f>
        <v>2225</v>
      </c>
      <c r="E44" s="432">
        <v>162</v>
      </c>
      <c r="F44" s="432">
        <v>143</v>
      </c>
      <c r="G44" s="432">
        <v>147</v>
      </c>
      <c r="H44" s="432">
        <v>144</v>
      </c>
      <c r="I44" s="432">
        <v>143</v>
      </c>
      <c r="J44" s="432">
        <v>123</v>
      </c>
      <c r="K44" s="432">
        <v>160</v>
      </c>
      <c r="L44" s="432">
        <v>133</v>
      </c>
      <c r="M44" s="432">
        <v>152</v>
      </c>
      <c r="N44" s="432">
        <v>138</v>
      </c>
      <c r="O44" s="432">
        <v>144</v>
      </c>
      <c r="P44" s="432">
        <v>167</v>
      </c>
      <c r="Q44" s="432">
        <v>146</v>
      </c>
      <c r="R44" s="432">
        <v>166</v>
      </c>
      <c r="S44" s="432">
        <v>157</v>
      </c>
    </row>
    <row r="45" spans="1:19" s="404" customFormat="1" ht="18.75" customHeight="1">
      <c r="A45" s="423" t="s">
        <v>299</v>
      </c>
      <c r="B45" s="424" t="s">
        <v>103</v>
      </c>
      <c r="C45" s="428"/>
      <c r="D45" s="433"/>
      <c r="E45" s="433"/>
      <c r="F45" s="433"/>
      <c r="G45" s="433"/>
      <c r="H45" s="433"/>
      <c r="I45" s="433"/>
      <c r="J45" s="433"/>
      <c r="K45" s="433"/>
      <c r="L45" s="433"/>
      <c r="M45" s="433"/>
      <c r="N45" s="433"/>
      <c r="O45" s="433"/>
      <c r="P45" s="433"/>
      <c r="Q45" s="433"/>
      <c r="R45" s="433"/>
      <c r="S45" s="433"/>
    </row>
    <row r="46" spans="1:19" s="404" customFormat="1" ht="12.75">
      <c r="A46" s="430">
        <v>1</v>
      </c>
      <c r="B46" s="431" t="s">
        <v>104</v>
      </c>
      <c r="C46" s="428"/>
      <c r="D46" s="388">
        <f>SUM(E46:S46)</f>
        <v>3335</v>
      </c>
      <c r="E46" s="432"/>
      <c r="F46" s="432"/>
      <c r="G46" s="432"/>
      <c r="H46" s="432"/>
      <c r="I46" s="432"/>
      <c r="J46" s="432"/>
      <c r="K46" s="432"/>
      <c r="L46" s="432">
        <f>L35</f>
        <v>0</v>
      </c>
      <c r="M46" s="432">
        <v>0</v>
      </c>
      <c r="N46" s="432">
        <f>N35</f>
        <v>0</v>
      </c>
      <c r="O46" s="432">
        <f>O35</f>
        <v>0</v>
      </c>
      <c r="P46" s="432">
        <f>PL07!Q21</f>
        <v>2580</v>
      </c>
      <c r="Q46" s="432">
        <f>PL07!R21</f>
        <v>668</v>
      </c>
      <c r="R46" s="432">
        <f>PL07!S21</f>
        <v>0</v>
      </c>
      <c r="S46" s="432">
        <f>PL07!T21</f>
        <v>87</v>
      </c>
    </row>
    <row r="47" spans="1:19" s="404" customFormat="1" ht="12.75">
      <c r="A47" s="434">
        <v>2</v>
      </c>
      <c r="B47" s="435" t="s">
        <v>105</v>
      </c>
      <c r="C47" s="436"/>
      <c r="D47" s="437">
        <f>SUM(E47:S47)</f>
        <v>3335</v>
      </c>
      <c r="E47" s="437"/>
      <c r="F47" s="437"/>
      <c r="G47" s="437"/>
      <c r="H47" s="437"/>
      <c r="I47" s="437"/>
      <c r="J47" s="437"/>
      <c r="K47" s="437"/>
      <c r="L47" s="437">
        <f>L46</f>
        <v>0</v>
      </c>
      <c r="M47" s="437">
        <v>0</v>
      </c>
      <c r="N47" s="437">
        <f aca="true" t="shared" si="12" ref="N47:S47">N46</f>
        <v>0</v>
      </c>
      <c r="O47" s="437">
        <f t="shared" si="12"/>
        <v>0</v>
      </c>
      <c r="P47" s="437">
        <f t="shared" si="12"/>
        <v>2580</v>
      </c>
      <c r="Q47" s="437">
        <f t="shared" si="12"/>
        <v>668</v>
      </c>
      <c r="R47" s="437">
        <f t="shared" si="12"/>
        <v>0</v>
      </c>
      <c r="S47" s="437">
        <f t="shared" si="12"/>
        <v>87</v>
      </c>
    </row>
    <row r="48" spans="1:19" s="404" customFormat="1" ht="12.75">
      <c r="A48" s="438"/>
      <c r="C48" s="438"/>
      <c r="D48" s="439"/>
      <c r="E48" s="439"/>
      <c r="F48" s="439"/>
      <c r="G48" s="439"/>
      <c r="H48" s="439"/>
      <c r="I48" s="439"/>
      <c r="J48" s="439"/>
      <c r="K48" s="439"/>
      <c r="L48" s="439"/>
      <c r="M48" s="439"/>
      <c r="N48" s="439"/>
      <c r="O48" s="439"/>
      <c r="P48" s="439"/>
      <c r="Q48" s="439"/>
      <c r="R48" s="439"/>
      <c r="S48" s="439"/>
    </row>
    <row r="49" spans="1:19" s="404" customFormat="1" ht="12.75">
      <c r="A49" s="438"/>
      <c r="C49" s="438"/>
      <c r="D49" s="440"/>
      <c r="E49" s="439"/>
      <c r="F49" s="439"/>
      <c r="G49" s="439"/>
      <c r="H49" s="439"/>
      <c r="I49" s="439"/>
      <c r="J49" s="439"/>
      <c r="K49" s="439"/>
      <c r="L49" s="439"/>
      <c r="M49" s="439"/>
      <c r="N49" s="439"/>
      <c r="O49" s="439"/>
      <c r="P49" s="439"/>
      <c r="Q49" s="439"/>
      <c r="R49" s="439"/>
      <c r="S49" s="439"/>
    </row>
  </sheetData>
  <sheetProtection/>
  <mergeCells count="9">
    <mergeCell ref="Q8:S8"/>
    <mergeCell ref="H1:Q1"/>
    <mergeCell ref="B5:S5"/>
    <mergeCell ref="B4:S4"/>
    <mergeCell ref="B6:S6"/>
    <mergeCell ref="A9:A10"/>
    <mergeCell ref="B9:B10"/>
    <mergeCell ref="C9:C10"/>
    <mergeCell ref="D9:S9"/>
  </mergeCells>
  <printOptions/>
  <pageMargins left="0.6" right="0.32" top="0.3" bottom="0.3" header="0.5" footer="0.37"/>
  <pageSetup horizontalDpi="600" verticalDpi="600" orientation="landscape" paperSize="9" scale="80" r:id="rId2"/>
  <headerFooter alignWithMargins="0">
    <oddFooter>&amp;CPage &amp;P</oddFooter>
  </headerFooter>
  <drawing r:id="rId1"/>
</worksheet>
</file>

<file path=xl/worksheets/sheet9.xml><?xml version="1.0" encoding="utf-8"?>
<worksheet xmlns="http://schemas.openxmlformats.org/spreadsheetml/2006/main" xmlns:r="http://schemas.openxmlformats.org/officeDocument/2006/relationships">
  <sheetPr>
    <tabColor rgb="FF0070C0"/>
  </sheetPr>
  <dimension ref="A1:BA40"/>
  <sheetViews>
    <sheetView zoomScale="110" zoomScaleNormal="110" zoomScalePageLayoutView="0" workbookViewId="0" topLeftCell="A3">
      <selection activeCell="A7" sqref="A7:T7"/>
    </sheetView>
  </sheetViews>
  <sheetFormatPr defaultColWidth="11.28125" defaultRowHeight="12.75"/>
  <cols>
    <col min="1" max="1" width="5.00390625" style="478" customWidth="1"/>
    <col min="2" max="2" width="27.28125" style="478" customWidth="1"/>
    <col min="3" max="3" width="8.28125" style="530" hidden="1" customWidth="1"/>
    <col min="4" max="4" width="7.8515625" style="531" customWidth="1"/>
    <col min="5" max="5" width="8.8515625" style="3" customWidth="1"/>
    <col min="6" max="6" width="7.421875" style="478" customWidth="1"/>
    <col min="7" max="8" width="7.8515625" style="478" customWidth="1"/>
    <col min="9" max="9" width="8.7109375" style="478" customWidth="1"/>
    <col min="10" max="10" width="8.421875" style="478" customWidth="1"/>
    <col min="11" max="11" width="7.7109375" style="478" customWidth="1"/>
    <col min="12" max="12" width="9.140625" style="478" customWidth="1"/>
    <col min="13" max="13" width="8.57421875" style="532" customWidth="1"/>
    <col min="14" max="14" width="8.140625" style="478" customWidth="1"/>
    <col min="15" max="16" width="8.7109375" style="478" customWidth="1"/>
    <col min="17" max="17" width="8.57421875" style="478" customWidth="1"/>
    <col min="18" max="19" width="8.7109375" style="478" customWidth="1"/>
    <col min="20" max="20" width="8.421875" style="478" customWidth="1"/>
    <col min="21" max="21" width="8.57421875" style="478" hidden="1" customWidth="1"/>
    <col min="22" max="22" width="10.7109375" style="478" hidden="1" customWidth="1"/>
    <col min="23" max="23" width="8.28125" style="478" hidden="1" customWidth="1"/>
    <col min="24" max="24" width="9.00390625" style="478" hidden="1" customWidth="1"/>
    <col min="25" max="26" width="8.00390625" style="478" hidden="1" customWidth="1"/>
    <col min="27" max="27" width="10.00390625" style="478" hidden="1" customWidth="1"/>
    <col min="28" max="28" width="9.421875" style="478" hidden="1" customWidth="1"/>
    <col min="29" max="30" width="8.421875" style="478" hidden="1" customWidth="1"/>
    <col min="31" max="31" width="0" style="478" hidden="1" customWidth="1"/>
    <col min="32" max="32" width="6.28125" style="478" hidden="1" customWidth="1"/>
    <col min="33" max="33" width="6.8515625" style="478" hidden="1" customWidth="1"/>
    <col min="34" max="34" width="6.28125" style="478" hidden="1" customWidth="1"/>
    <col min="35" max="35" width="6.7109375" style="478" hidden="1" customWidth="1"/>
    <col min="36" max="36" width="6.28125" style="478" customWidth="1"/>
    <col min="37" max="37" width="11.8515625" style="478" customWidth="1"/>
    <col min="38" max="38" width="16.8515625" style="478" customWidth="1"/>
    <col min="39" max="52" width="10.7109375" style="478" customWidth="1"/>
    <col min="53" max="53" width="13.8515625" style="478" customWidth="1"/>
    <col min="54" max="54" width="16.57421875" style="478" bestFit="1" customWidth="1"/>
    <col min="55" max="55" width="12.7109375" style="478" bestFit="1" customWidth="1"/>
    <col min="56" max="56" width="11.28125" style="478" customWidth="1"/>
    <col min="57" max="57" width="15.7109375" style="478" customWidth="1"/>
    <col min="58" max="58" width="17.7109375" style="478" bestFit="1" customWidth="1"/>
    <col min="59" max="16384" width="11.28125" style="478" customWidth="1"/>
  </cols>
  <sheetData>
    <row r="1" spans="2:48" ht="18" customHeight="1" hidden="1">
      <c r="B1" s="479"/>
      <c r="C1" s="480"/>
      <c r="D1" s="481"/>
      <c r="E1" s="2"/>
      <c r="F1" s="479"/>
      <c r="G1" s="479" t="s">
        <v>126</v>
      </c>
      <c r="H1" s="479"/>
      <c r="J1" s="479"/>
      <c r="K1" s="973" t="s">
        <v>127</v>
      </c>
      <c r="L1" s="973"/>
      <c r="M1" s="973"/>
      <c r="N1" s="973"/>
      <c r="O1" s="973"/>
      <c r="P1" s="973"/>
      <c r="Q1" s="973"/>
      <c r="R1" s="973"/>
      <c r="S1" s="973"/>
      <c r="T1" s="973"/>
      <c r="U1" s="973"/>
      <c r="V1" s="482"/>
      <c r="W1" s="482"/>
      <c r="X1" s="483"/>
      <c r="Y1" s="483"/>
      <c r="Z1" s="483"/>
      <c r="AA1" s="483"/>
      <c r="AB1" s="483"/>
      <c r="AC1" s="483"/>
      <c r="AD1" s="483"/>
      <c r="AE1" s="483"/>
      <c r="AF1" s="482"/>
      <c r="AG1" s="482"/>
      <c r="AH1" s="482"/>
      <c r="AI1" s="483"/>
      <c r="AJ1" s="482"/>
      <c r="AK1" s="482"/>
      <c r="AL1" s="482"/>
      <c r="AM1" s="482"/>
      <c r="AN1" s="482"/>
      <c r="AO1" s="482"/>
      <c r="AP1" s="482"/>
      <c r="AQ1" s="483"/>
      <c r="AR1" s="483"/>
      <c r="AS1" s="483"/>
      <c r="AT1" s="483"/>
      <c r="AU1" s="483"/>
      <c r="AV1" s="483"/>
    </row>
    <row r="2" spans="2:53" ht="18.75" hidden="1">
      <c r="B2" s="479"/>
      <c r="C2" s="480"/>
      <c r="D2" s="481"/>
      <c r="E2" s="2"/>
      <c r="F2" s="479"/>
      <c r="G2" s="479" t="s">
        <v>343</v>
      </c>
      <c r="H2" s="479"/>
      <c r="J2" s="484"/>
      <c r="K2" s="974" t="s">
        <v>128</v>
      </c>
      <c r="L2" s="974"/>
      <c r="M2" s="974"/>
      <c r="N2" s="974"/>
      <c r="O2" s="974"/>
      <c r="P2" s="974"/>
      <c r="Q2" s="974"/>
      <c r="R2" s="974"/>
      <c r="S2" s="974"/>
      <c r="T2" s="974"/>
      <c r="U2" s="974"/>
      <c r="V2" s="485"/>
      <c r="W2" s="485"/>
      <c r="AF2" s="486"/>
      <c r="AG2" s="486"/>
      <c r="AH2" s="486"/>
      <c r="AI2" s="487"/>
      <c r="AJ2" s="486"/>
      <c r="AK2" s="486"/>
      <c r="AL2" s="486"/>
      <c r="AM2" s="486"/>
      <c r="AN2" s="486"/>
      <c r="AO2" s="487"/>
      <c r="AP2" s="487"/>
      <c r="AR2" s="483"/>
      <c r="AS2" s="483"/>
      <c r="AT2" s="483"/>
      <c r="AU2" s="483"/>
      <c r="AV2" s="483"/>
      <c r="BA2" s="486"/>
    </row>
    <row r="3" spans="1:53" ht="18.75">
      <c r="A3" s="24" t="s">
        <v>852</v>
      </c>
      <c r="B3" s="479"/>
      <c r="C3" s="480"/>
      <c r="D3" s="481"/>
      <c r="E3" s="2"/>
      <c r="F3" s="479"/>
      <c r="G3" s="479"/>
      <c r="H3" s="479"/>
      <c r="J3" s="484"/>
      <c r="K3" s="485"/>
      <c r="L3" s="485"/>
      <c r="M3" s="485"/>
      <c r="N3" s="485"/>
      <c r="O3" s="485"/>
      <c r="P3" s="485"/>
      <c r="Q3" s="485"/>
      <c r="R3" s="485"/>
      <c r="S3" s="485"/>
      <c r="T3" s="485"/>
      <c r="U3" s="485"/>
      <c r="V3" s="485"/>
      <c r="W3" s="485"/>
      <c r="AF3" s="486"/>
      <c r="AG3" s="486"/>
      <c r="AH3" s="486"/>
      <c r="AI3" s="487"/>
      <c r="AJ3" s="486"/>
      <c r="AK3" s="486"/>
      <c r="AL3" s="486"/>
      <c r="AM3" s="486"/>
      <c r="AN3" s="486"/>
      <c r="AO3" s="487"/>
      <c r="AP3" s="487"/>
      <c r="AR3" s="483"/>
      <c r="AS3" s="483"/>
      <c r="AT3" s="483"/>
      <c r="AU3" s="483"/>
      <c r="AV3" s="483"/>
      <c r="BA3" s="486"/>
    </row>
    <row r="4" spans="1:53" ht="18.75">
      <c r="A4" s="24" t="s">
        <v>851</v>
      </c>
      <c r="B4" s="479"/>
      <c r="C4" s="480"/>
      <c r="D4" s="481"/>
      <c r="E4" s="2"/>
      <c r="F4" s="479"/>
      <c r="G4" s="479"/>
      <c r="H4" s="479"/>
      <c r="J4" s="484"/>
      <c r="K4" s="485"/>
      <c r="L4" s="485"/>
      <c r="M4" s="485"/>
      <c r="N4" s="485"/>
      <c r="O4" s="485"/>
      <c r="P4" s="485"/>
      <c r="Q4" s="485"/>
      <c r="R4" s="485"/>
      <c r="S4" s="485"/>
      <c r="T4" s="485"/>
      <c r="U4" s="485"/>
      <c r="V4" s="485"/>
      <c r="W4" s="485"/>
      <c r="AF4" s="486"/>
      <c r="AG4" s="486"/>
      <c r="AH4" s="486"/>
      <c r="AI4" s="487"/>
      <c r="AJ4" s="486"/>
      <c r="AK4" s="486"/>
      <c r="AL4" s="486"/>
      <c r="AM4" s="486"/>
      <c r="AN4" s="486"/>
      <c r="AO4" s="487"/>
      <c r="AP4" s="487"/>
      <c r="AR4" s="483"/>
      <c r="AS4" s="483"/>
      <c r="AT4" s="483"/>
      <c r="AU4" s="483"/>
      <c r="AV4" s="483"/>
      <c r="BA4" s="486"/>
    </row>
    <row r="5" spans="1:48" s="490" customFormat="1" ht="20.25" customHeight="1">
      <c r="A5" s="975" t="s">
        <v>129</v>
      </c>
      <c r="B5" s="975"/>
      <c r="C5" s="975"/>
      <c r="D5" s="975"/>
      <c r="E5" s="975"/>
      <c r="F5" s="975"/>
      <c r="G5" s="975"/>
      <c r="H5" s="975"/>
      <c r="I5" s="975"/>
      <c r="J5" s="975"/>
      <c r="K5" s="975"/>
      <c r="L5" s="975"/>
      <c r="M5" s="975"/>
      <c r="N5" s="975"/>
      <c r="O5" s="975"/>
      <c r="P5" s="975"/>
      <c r="Q5" s="975"/>
      <c r="R5" s="975"/>
      <c r="S5" s="975"/>
      <c r="T5" s="975"/>
      <c r="U5" s="488"/>
      <c r="V5" s="488"/>
      <c r="W5" s="488"/>
      <c r="X5" s="488"/>
      <c r="Y5" s="488"/>
      <c r="Z5" s="488"/>
      <c r="AA5" s="488"/>
      <c r="AB5" s="488"/>
      <c r="AC5" s="488"/>
      <c r="AD5" s="488"/>
      <c r="AE5" s="489"/>
      <c r="AG5" s="488"/>
      <c r="AH5" s="486"/>
      <c r="AI5" s="491"/>
      <c r="AJ5" s="486"/>
      <c r="AK5" s="486"/>
      <c r="AL5" s="486"/>
      <c r="AM5" s="486"/>
      <c r="AN5" s="486"/>
      <c r="AO5" s="486"/>
      <c r="AP5" s="486"/>
      <c r="AR5" s="491"/>
      <c r="AS5" s="491"/>
      <c r="AT5" s="491"/>
      <c r="AU5" s="491"/>
      <c r="AV5" s="491"/>
    </row>
    <row r="6" spans="1:49" ht="19.5" customHeight="1">
      <c r="A6" s="976" t="s">
        <v>845</v>
      </c>
      <c r="B6" s="976"/>
      <c r="C6" s="976"/>
      <c r="D6" s="976"/>
      <c r="E6" s="976"/>
      <c r="F6" s="976"/>
      <c r="G6" s="976"/>
      <c r="H6" s="976"/>
      <c r="I6" s="976"/>
      <c r="J6" s="976"/>
      <c r="K6" s="976"/>
      <c r="L6" s="976"/>
      <c r="M6" s="976"/>
      <c r="N6" s="976"/>
      <c r="O6" s="976"/>
      <c r="P6" s="976"/>
      <c r="Q6" s="976"/>
      <c r="R6" s="976"/>
      <c r="S6" s="976"/>
      <c r="T6" s="976"/>
      <c r="U6" s="492"/>
      <c r="V6" s="492"/>
      <c r="W6" s="492"/>
      <c r="X6" s="492"/>
      <c r="Y6" s="492"/>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row>
    <row r="7" spans="1:50" ht="18.75" customHeight="1">
      <c r="A7" s="978" t="s">
        <v>853</v>
      </c>
      <c r="B7" s="978"/>
      <c r="C7" s="978"/>
      <c r="D7" s="978"/>
      <c r="E7" s="978"/>
      <c r="F7" s="978"/>
      <c r="G7" s="978"/>
      <c r="H7" s="978"/>
      <c r="I7" s="978"/>
      <c r="J7" s="978"/>
      <c r="K7" s="978"/>
      <c r="L7" s="978"/>
      <c r="M7" s="978"/>
      <c r="N7" s="978"/>
      <c r="O7" s="978"/>
      <c r="P7" s="978"/>
      <c r="Q7" s="978"/>
      <c r="R7" s="978"/>
      <c r="S7" s="978"/>
      <c r="T7" s="978"/>
      <c r="U7" s="494"/>
      <c r="V7" s="494"/>
      <c r="W7" s="494"/>
      <c r="X7" s="494"/>
      <c r="Y7" s="494"/>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5"/>
    </row>
    <row r="8" spans="1:53" s="503" customFormat="1" ht="12" customHeight="1" hidden="1">
      <c r="A8" s="496"/>
      <c r="B8" s="497"/>
      <c r="C8" s="498"/>
      <c r="D8" s="499" t="s">
        <v>130</v>
      </c>
      <c r="E8" s="3">
        <v>1.3</v>
      </c>
      <c r="F8" s="497"/>
      <c r="G8" s="497"/>
      <c r="H8" s="497"/>
      <c r="I8" s="497"/>
      <c r="J8" s="497"/>
      <c r="K8" s="497"/>
      <c r="L8" s="497"/>
      <c r="M8" s="500"/>
      <c r="N8" s="501"/>
      <c r="O8" s="497"/>
      <c r="P8" s="502"/>
      <c r="S8" s="501"/>
      <c r="T8" s="501"/>
      <c r="U8" s="504"/>
      <c r="V8" s="504"/>
      <c r="W8" s="504"/>
      <c r="X8" s="504"/>
      <c r="Y8" s="504"/>
      <c r="Z8" s="504"/>
      <c r="AA8" s="504"/>
      <c r="AB8" s="504"/>
      <c r="AC8" s="504"/>
      <c r="AD8" s="504"/>
      <c r="AE8" s="505"/>
      <c r="AF8" s="502"/>
      <c r="AG8" s="496"/>
      <c r="AI8" s="496"/>
      <c r="AJ8" s="502"/>
      <c r="AK8" s="502"/>
      <c r="AL8" s="496"/>
      <c r="AM8" s="496"/>
      <c r="AN8" s="496"/>
      <c r="AO8" s="496"/>
      <c r="AP8" s="496"/>
      <c r="AQ8" s="496"/>
      <c r="AR8" s="496"/>
      <c r="AS8" s="496"/>
      <c r="AT8" s="496"/>
      <c r="AU8" s="506"/>
      <c r="AV8" s="502"/>
      <c r="BA8" s="497"/>
    </row>
    <row r="9" spans="1:53" s="503" customFormat="1" ht="15.75" customHeight="1">
      <c r="A9" s="496"/>
      <c r="B9" s="497"/>
      <c r="C9" s="498"/>
      <c r="D9" s="499"/>
      <c r="E9" s="3"/>
      <c r="F9" s="497"/>
      <c r="G9" s="497"/>
      <c r="H9" s="497"/>
      <c r="I9" s="497"/>
      <c r="J9" s="497"/>
      <c r="K9" s="497"/>
      <c r="L9" s="497"/>
      <c r="M9" s="500"/>
      <c r="N9" s="501"/>
      <c r="O9" s="497"/>
      <c r="P9" s="502"/>
      <c r="R9" s="984" t="s">
        <v>707</v>
      </c>
      <c r="S9" s="984"/>
      <c r="T9" s="984"/>
      <c r="U9" s="504"/>
      <c r="V9" s="504"/>
      <c r="W9" s="504"/>
      <c r="X9" s="504"/>
      <c r="Y9" s="504"/>
      <c r="Z9" s="504"/>
      <c r="AA9" s="504"/>
      <c r="AB9" s="504"/>
      <c r="AC9" s="504"/>
      <c r="AD9" s="504"/>
      <c r="AE9" s="505"/>
      <c r="AF9" s="502"/>
      <c r="AG9" s="496"/>
      <c r="AI9" s="496"/>
      <c r="AJ9" s="502"/>
      <c r="AK9" s="502"/>
      <c r="AL9" s="496"/>
      <c r="AM9" s="496"/>
      <c r="AN9" s="496"/>
      <c r="AO9" s="496"/>
      <c r="AP9" s="496"/>
      <c r="AQ9" s="496"/>
      <c r="AR9" s="496"/>
      <c r="AS9" s="496"/>
      <c r="AT9" s="496"/>
      <c r="AU9" s="506"/>
      <c r="AV9" s="502"/>
      <c r="BA9" s="497"/>
    </row>
    <row r="10" spans="1:20" s="473" customFormat="1" ht="15" customHeight="1">
      <c r="A10" s="979" t="s">
        <v>266</v>
      </c>
      <c r="B10" s="981" t="s">
        <v>131</v>
      </c>
      <c r="C10" s="981" t="s">
        <v>132</v>
      </c>
      <c r="D10" s="982" t="s">
        <v>133</v>
      </c>
      <c r="E10" s="983" t="s">
        <v>297</v>
      </c>
      <c r="F10" s="977" t="s">
        <v>134</v>
      </c>
      <c r="G10" s="977" t="s">
        <v>135</v>
      </c>
      <c r="H10" s="977" t="s">
        <v>136</v>
      </c>
      <c r="I10" s="977" t="s">
        <v>137</v>
      </c>
      <c r="J10" s="977" t="s">
        <v>138</v>
      </c>
      <c r="K10" s="977" t="s">
        <v>139</v>
      </c>
      <c r="L10" s="977" t="s">
        <v>739</v>
      </c>
      <c r="M10" s="977" t="s">
        <v>141</v>
      </c>
      <c r="N10" s="977" t="s">
        <v>145</v>
      </c>
      <c r="O10" s="977" t="s">
        <v>146</v>
      </c>
      <c r="P10" s="977" t="s">
        <v>147</v>
      </c>
      <c r="Q10" s="977" t="s">
        <v>140</v>
      </c>
      <c r="R10" s="977" t="s">
        <v>142</v>
      </c>
      <c r="S10" s="977" t="s">
        <v>143</v>
      </c>
      <c r="T10" s="977" t="s">
        <v>144</v>
      </c>
    </row>
    <row r="11" spans="1:20" s="473" customFormat="1" ht="24.75" customHeight="1">
      <c r="A11" s="980"/>
      <c r="B11" s="981"/>
      <c r="C11" s="981"/>
      <c r="D11" s="982"/>
      <c r="E11" s="983"/>
      <c r="F11" s="977"/>
      <c r="G11" s="977"/>
      <c r="H11" s="977"/>
      <c r="I11" s="977"/>
      <c r="J11" s="977"/>
      <c r="K11" s="977"/>
      <c r="L11" s="977"/>
      <c r="M11" s="977"/>
      <c r="N11" s="977"/>
      <c r="O11" s="977"/>
      <c r="P11" s="977"/>
      <c r="Q11" s="977"/>
      <c r="R11" s="977"/>
      <c r="S11" s="977"/>
      <c r="T11" s="977"/>
    </row>
    <row r="12" spans="1:20" s="473" customFormat="1" ht="15">
      <c r="A12" s="360" t="s">
        <v>267</v>
      </c>
      <c r="B12" s="360" t="s">
        <v>272</v>
      </c>
      <c r="C12" s="360"/>
      <c r="D12" s="508" t="s">
        <v>299</v>
      </c>
      <c r="E12" s="60" t="s">
        <v>148</v>
      </c>
      <c r="F12" s="509">
        <v>1</v>
      </c>
      <c r="G12" s="509">
        <v>2</v>
      </c>
      <c r="H12" s="509">
        <v>3</v>
      </c>
      <c r="I12" s="509">
        <v>4</v>
      </c>
      <c r="J12" s="509">
        <v>5</v>
      </c>
      <c r="K12" s="509">
        <v>6</v>
      </c>
      <c r="L12" s="509">
        <v>7</v>
      </c>
      <c r="M12" s="509">
        <v>8</v>
      </c>
      <c r="N12" s="509">
        <v>9</v>
      </c>
      <c r="O12" s="509">
        <v>10</v>
      </c>
      <c r="P12" s="509">
        <v>11</v>
      </c>
      <c r="Q12" s="509">
        <v>12</v>
      </c>
      <c r="R12" s="509">
        <v>13</v>
      </c>
      <c r="S12" s="509">
        <v>14</v>
      </c>
      <c r="T12" s="509">
        <v>15</v>
      </c>
    </row>
    <row r="13" spans="1:20" s="511" customFormat="1" ht="20.25" customHeight="1">
      <c r="A13" s="63"/>
      <c r="B13" s="64" t="s">
        <v>581</v>
      </c>
      <c r="C13" s="63"/>
      <c r="D13" s="507"/>
      <c r="E13" s="510">
        <f>E14+E20</f>
        <v>113687</v>
      </c>
      <c r="F13" s="510">
        <f aca="true" t="shared" si="0" ref="F13:S13">F14+F20</f>
        <v>8023</v>
      </c>
      <c r="G13" s="510">
        <f t="shared" si="0"/>
        <v>7065</v>
      </c>
      <c r="H13" s="510">
        <f t="shared" si="0"/>
        <v>7311</v>
      </c>
      <c r="I13" s="510">
        <f t="shared" si="0"/>
        <v>7145</v>
      </c>
      <c r="J13" s="510">
        <f t="shared" si="0"/>
        <v>7096</v>
      </c>
      <c r="K13" s="510">
        <f t="shared" si="0"/>
        <v>6093</v>
      </c>
      <c r="L13" s="510">
        <f t="shared" si="0"/>
        <v>7958</v>
      </c>
      <c r="M13" s="510">
        <f t="shared" si="0"/>
        <v>6653</v>
      </c>
      <c r="N13" s="510">
        <f t="shared" si="0"/>
        <v>7508</v>
      </c>
      <c r="O13" s="510">
        <f t="shared" si="0"/>
        <v>6817</v>
      </c>
      <c r="P13" s="510">
        <f t="shared" si="0"/>
        <v>7128</v>
      </c>
      <c r="Q13" s="510">
        <f>Q14+Q20</f>
        <v>10865</v>
      </c>
      <c r="R13" s="510">
        <f t="shared" si="0"/>
        <v>7914</v>
      </c>
      <c r="S13" s="510">
        <f t="shared" si="0"/>
        <v>8227</v>
      </c>
      <c r="T13" s="510">
        <f>T14+T20</f>
        <v>7884</v>
      </c>
    </row>
    <row r="14" spans="1:20" s="511" customFormat="1" ht="21.75" customHeight="1">
      <c r="A14" s="63" t="s">
        <v>268</v>
      </c>
      <c r="B14" s="64" t="s">
        <v>582</v>
      </c>
      <c r="C14" s="63"/>
      <c r="D14" s="507" t="s">
        <v>149</v>
      </c>
      <c r="E14" s="510">
        <f>E15+E18</f>
        <v>110352</v>
      </c>
      <c r="F14" s="510">
        <f>F15+F18</f>
        <v>8023</v>
      </c>
      <c r="G14" s="510">
        <f aca="true" t="shared" si="1" ref="G14:T14">G15+G18</f>
        <v>7065</v>
      </c>
      <c r="H14" s="510">
        <f t="shared" si="1"/>
        <v>7311</v>
      </c>
      <c r="I14" s="510">
        <f t="shared" si="1"/>
        <v>7145</v>
      </c>
      <c r="J14" s="510">
        <f t="shared" si="1"/>
        <v>7096</v>
      </c>
      <c r="K14" s="510">
        <f t="shared" si="1"/>
        <v>6093</v>
      </c>
      <c r="L14" s="510">
        <f t="shared" si="1"/>
        <v>7958</v>
      </c>
      <c r="M14" s="510">
        <f t="shared" si="1"/>
        <v>6653</v>
      </c>
      <c r="N14" s="510">
        <f t="shared" si="1"/>
        <v>7508</v>
      </c>
      <c r="O14" s="510">
        <f t="shared" si="1"/>
        <v>6817</v>
      </c>
      <c r="P14" s="510">
        <f t="shared" si="1"/>
        <v>7128</v>
      </c>
      <c r="Q14" s="510">
        <f t="shared" si="1"/>
        <v>8285</v>
      </c>
      <c r="R14" s="510">
        <f t="shared" si="1"/>
        <v>7246</v>
      </c>
      <c r="S14" s="510">
        <f t="shared" si="1"/>
        <v>8227</v>
      </c>
      <c r="T14" s="510">
        <f t="shared" si="1"/>
        <v>7797</v>
      </c>
    </row>
    <row r="15" spans="1:35" s="511" customFormat="1" ht="33.75" customHeight="1">
      <c r="A15" s="63">
        <v>1</v>
      </c>
      <c r="B15" s="64" t="s">
        <v>610</v>
      </c>
      <c r="C15" s="63"/>
      <c r="D15" s="507" t="s">
        <v>150</v>
      </c>
      <c r="E15" s="510">
        <f>E16+E17</f>
        <v>108127</v>
      </c>
      <c r="F15" s="510">
        <f aca="true" t="shared" si="2" ref="F15:AI15">F16+F17</f>
        <v>7861</v>
      </c>
      <c r="G15" s="510">
        <f t="shared" si="2"/>
        <v>6922</v>
      </c>
      <c r="H15" s="510">
        <f t="shared" si="2"/>
        <v>7164</v>
      </c>
      <c r="I15" s="510">
        <f t="shared" si="2"/>
        <v>7001</v>
      </c>
      <c r="J15" s="510">
        <f t="shared" si="2"/>
        <v>6953</v>
      </c>
      <c r="K15" s="510">
        <f t="shared" si="2"/>
        <v>5970</v>
      </c>
      <c r="L15" s="510">
        <f t="shared" si="2"/>
        <v>7798</v>
      </c>
      <c r="M15" s="510">
        <f t="shared" si="2"/>
        <v>6520</v>
      </c>
      <c r="N15" s="510">
        <f t="shared" si="2"/>
        <v>7356</v>
      </c>
      <c r="O15" s="510">
        <f t="shared" si="2"/>
        <v>6679</v>
      </c>
      <c r="P15" s="510">
        <f t="shared" si="2"/>
        <v>6984</v>
      </c>
      <c r="Q15" s="510">
        <f t="shared" si="2"/>
        <v>8118</v>
      </c>
      <c r="R15" s="510">
        <f t="shared" si="2"/>
        <v>7100</v>
      </c>
      <c r="S15" s="510">
        <f t="shared" si="2"/>
        <v>8061</v>
      </c>
      <c r="T15" s="510">
        <f t="shared" si="2"/>
        <v>7640</v>
      </c>
      <c r="U15" s="510">
        <f t="shared" si="2"/>
        <v>0</v>
      </c>
      <c r="V15" s="510">
        <f t="shared" si="2"/>
        <v>0</v>
      </c>
      <c r="W15" s="510">
        <f t="shared" si="2"/>
        <v>0</v>
      </c>
      <c r="X15" s="510">
        <f t="shared" si="2"/>
        <v>0</v>
      </c>
      <c r="Y15" s="510">
        <f t="shared" si="2"/>
        <v>0</v>
      </c>
      <c r="Z15" s="510">
        <f t="shared" si="2"/>
        <v>0</v>
      </c>
      <c r="AA15" s="510">
        <f t="shared" si="2"/>
        <v>0</v>
      </c>
      <c r="AB15" s="510">
        <f t="shared" si="2"/>
        <v>0</v>
      </c>
      <c r="AC15" s="510">
        <f t="shared" si="2"/>
        <v>0</v>
      </c>
      <c r="AD15" s="510">
        <f t="shared" si="2"/>
        <v>0</v>
      </c>
      <c r="AE15" s="510">
        <f t="shared" si="2"/>
        <v>0</v>
      </c>
      <c r="AF15" s="510">
        <f t="shared" si="2"/>
        <v>0</v>
      </c>
      <c r="AG15" s="510">
        <f t="shared" si="2"/>
        <v>0</v>
      </c>
      <c r="AH15" s="510">
        <f t="shared" si="2"/>
        <v>0</v>
      </c>
      <c r="AI15" s="510">
        <f t="shared" si="2"/>
        <v>0</v>
      </c>
    </row>
    <row r="16" spans="1:20" s="473" customFormat="1" ht="29.25" customHeight="1">
      <c r="A16" s="360" t="s">
        <v>282</v>
      </c>
      <c r="B16" s="61" t="s">
        <v>199</v>
      </c>
      <c r="C16" s="360"/>
      <c r="D16" s="512"/>
      <c r="E16" s="22">
        <f aca="true" t="shared" si="3" ref="E16:E21">SUM(F16:T16)</f>
        <v>59749</v>
      </c>
      <c r="F16" s="22">
        <v>4351</v>
      </c>
      <c r="G16" s="22">
        <v>3917</v>
      </c>
      <c r="H16" s="22">
        <v>4025</v>
      </c>
      <c r="I16" s="22">
        <v>3941</v>
      </c>
      <c r="J16" s="22">
        <v>3752</v>
      </c>
      <c r="K16" s="22">
        <v>3412</v>
      </c>
      <c r="L16" s="22">
        <v>4338</v>
      </c>
      <c r="M16" s="22">
        <v>3713</v>
      </c>
      <c r="N16" s="22">
        <v>4226</v>
      </c>
      <c r="O16" s="22">
        <v>3920</v>
      </c>
      <c r="P16" s="22">
        <v>4092</v>
      </c>
      <c r="Q16" s="22">
        <v>4079</v>
      </c>
      <c r="R16" s="22">
        <v>3715</v>
      </c>
      <c r="S16" s="22">
        <v>4219</v>
      </c>
      <c r="T16" s="22">
        <v>4049</v>
      </c>
    </row>
    <row r="17" spans="1:20" s="473" customFormat="1" ht="36.75" customHeight="1">
      <c r="A17" s="360" t="s">
        <v>283</v>
      </c>
      <c r="B17" s="62" t="s">
        <v>151</v>
      </c>
      <c r="C17" s="360"/>
      <c r="D17" s="508"/>
      <c r="E17" s="22">
        <f t="shared" si="3"/>
        <v>48378</v>
      </c>
      <c r="F17" s="22">
        <v>3510</v>
      </c>
      <c r="G17" s="22">
        <v>3005</v>
      </c>
      <c r="H17" s="22">
        <v>3139</v>
      </c>
      <c r="I17" s="22">
        <v>3060</v>
      </c>
      <c r="J17" s="22">
        <v>3201</v>
      </c>
      <c r="K17" s="22">
        <v>2558</v>
      </c>
      <c r="L17" s="22">
        <v>3460</v>
      </c>
      <c r="M17" s="22">
        <v>2807</v>
      </c>
      <c r="N17" s="22">
        <v>3130</v>
      </c>
      <c r="O17" s="22">
        <v>2759</v>
      </c>
      <c r="P17" s="22">
        <v>2892</v>
      </c>
      <c r="Q17" s="22">
        <v>4039</v>
      </c>
      <c r="R17" s="22">
        <v>3385</v>
      </c>
      <c r="S17" s="22">
        <v>3842</v>
      </c>
      <c r="T17" s="22">
        <v>3591</v>
      </c>
    </row>
    <row r="18" spans="1:20" s="511" customFormat="1" ht="24" customHeight="1">
      <c r="A18" s="63">
        <v>2</v>
      </c>
      <c r="B18" s="64" t="s">
        <v>152</v>
      </c>
      <c r="C18" s="63"/>
      <c r="D18" s="507"/>
      <c r="E18" s="510">
        <f t="shared" si="3"/>
        <v>2225</v>
      </c>
      <c r="F18" s="510">
        <v>162</v>
      </c>
      <c r="G18" s="510">
        <v>143</v>
      </c>
      <c r="H18" s="510">
        <v>147</v>
      </c>
      <c r="I18" s="510">
        <v>144</v>
      </c>
      <c r="J18" s="510">
        <v>143</v>
      </c>
      <c r="K18" s="510">
        <v>123</v>
      </c>
      <c r="L18" s="510">
        <v>160</v>
      </c>
      <c r="M18" s="510">
        <v>133</v>
      </c>
      <c r="N18" s="510">
        <v>152</v>
      </c>
      <c r="O18" s="510">
        <v>138</v>
      </c>
      <c r="P18" s="510">
        <v>144</v>
      </c>
      <c r="Q18" s="510">
        <v>167</v>
      </c>
      <c r="R18" s="510">
        <v>146</v>
      </c>
      <c r="S18" s="510">
        <v>166</v>
      </c>
      <c r="T18" s="510">
        <v>157</v>
      </c>
    </row>
    <row r="19" spans="1:20" s="511" customFormat="1" ht="24" customHeight="1">
      <c r="A19" s="69">
        <v>3</v>
      </c>
      <c r="B19" s="70" t="s">
        <v>609</v>
      </c>
      <c r="C19" s="69"/>
      <c r="D19" s="513"/>
      <c r="E19" s="514">
        <f t="shared" si="3"/>
        <v>3208</v>
      </c>
      <c r="F19" s="515">
        <v>227</v>
      </c>
      <c r="G19" s="515">
        <v>206</v>
      </c>
      <c r="H19" s="515">
        <v>208</v>
      </c>
      <c r="I19" s="515">
        <v>206</v>
      </c>
      <c r="J19" s="515">
        <v>208</v>
      </c>
      <c r="K19" s="515">
        <v>185</v>
      </c>
      <c r="L19" s="515">
        <v>225</v>
      </c>
      <c r="M19" s="515">
        <v>204</v>
      </c>
      <c r="N19" s="515">
        <v>223</v>
      </c>
      <c r="O19" s="515">
        <v>220</v>
      </c>
      <c r="P19" s="515">
        <v>222</v>
      </c>
      <c r="Q19" s="515">
        <v>225</v>
      </c>
      <c r="R19" s="515">
        <v>202</v>
      </c>
      <c r="S19" s="515">
        <v>225</v>
      </c>
      <c r="T19" s="515">
        <v>222</v>
      </c>
    </row>
    <row r="20" spans="1:20" s="473" customFormat="1" ht="35.25" customHeight="1">
      <c r="A20" s="63" t="s">
        <v>269</v>
      </c>
      <c r="B20" s="64" t="s">
        <v>583</v>
      </c>
      <c r="C20" s="63"/>
      <c r="D20" s="507"/>
      <c r="E20" s="510">
        <f t="shared" si="3"/>
        <v>3335</v>
      </c>
      <c r="F20" s="516"/>
      <c r="G20" s="516"/>
      <c r="H20" s="516"/>
      <c r="I20" s="516"/>
      <c r="J20" s="516"/>
      <c r="K20" s="516"/>
      <c r="L20" s="516"/>
      <c r="M20" s="516"/>
      <c r="N20" s="516"/>
      <c r="O20" s="516"/>
      <c r="P20" s="516"/>
      <c r="Q20" s="517">
        <f>Q21</f>
        <v>2580</v>
      </c>
      <c r="R20" s="517">
        <f>R21</f>
        <v>668</v>
      </c>
      <c r="S20" s="517">
        <f>S21</f>
        <v>0</v>
      </c>
      <c r="T20" s="517">
        <f>T21</f>
        <v>87</v>
      </c>
    </row>
    <row r="21" spans="1:20" s="518" customFormat="1" ht="30" customHeight="1">
      <c r="A21" s="63">
        <v>1</v>
      </c>
      <c r="B21" s="64" t="s">
        <v>725</v>
      </c>
      <c r="C21" s="63"/>
      <c r="D21" s="507"/>
      <c r="E21" s="510">
        <f t="shared" si="3"/>
        <v>3335</v>
      </c>
      <c r="F21" s="22"/>
      <c r="G21" s="22"/>
      <c r="H21" s="22"/>
      <c r="I21" s="22"/>
      <c r="J21" s="22"/>
      <c r="K21" s="22"/>
      <c r="L21" s="22"/>
      <c r="M21" s="22"/>
      <c r="N21" s="22"/>
      <c r="O21" s="22"/>
      <c r="P21" s="22"/>
      <c r="Q21" s="22">
        <v>2580</v>
      </c>
      <c r="R21" s="22">
        <v>668</v>
      </c>
      <c r="S21" s="22"/>
      <c r="T21" s="22">
        <v>87</v>
      </c>
    </row>
    <row r="22" spans="1:20" s="518" customFormat="1" ht="20.25" customHeight="1">
      <c r="A22" s="519"/>
      <c r="B22" s="520"/>
      <c r="C22" s="519"/>
      <c r="D22" s="521"/>
      <c r="E22" s="522"/>
      <c r="F22" s="523"/>
      <c r="G22" s="523"/>
      <c r="H22" s="523"/>
      <c r="I22" s="523"/>
      <c r="J22" s="523"/>
      <c r="K22" s="523"/>
      <c r="L22" s="523"/>
      <c r="M22" s="523"/>
      <c r="N22" s="523"/>
      <c r="O22" s="523"/>
      <c r="P22" s="523"/>
      <c r="Q22" s="523"/>
      <c r="R22" s="523"/>
      <c r="S22" s="523"/>
      <c r="T22" s="523"/>
    </row>
    <row r="23" spans="1:20" s="473" customFormat="1" ht="16.5">
      <c r="A23" s="524" t="s">
        <v>207</v>
      </c>
      <c r="B23" s="525" t="s">
        <v>208</v>
      </c>
      <c r="C23" s="7"/>
      <c r="D23" s="7"/>
      <c r="E23" s="7"/>
      <c r="F23" s="8"/>
      <c r="G23" s="8"/>
      <c r="H23" s="8"/>
      <c r="I23" s="8"/>
      <c r="J23" s="8"/>
      <c r="K23" s="8"/>
      <c r="L23" s="8"/>
      <c r="M23" s="8"/>
      <c r="N23" s="8"/>
      <c r="O23" s="8"/>
      <c r="P23" s="8"/>
      <c r="Q23" s="8"/>
      <c r="R23" s="8"/>
      <c r="S23" s="8"/>
      <c r="T23" s="8"/>
    </row>
    <row r="24" spans="1:20" s="527" customFormat="1" ht="15">
      <c r="A24" s="526"/>
      <c r="B24" s="699" t="s">
        <v>726</v>
      </c>
      <c r="C24" s="72"/>
      <c r="D24" s="73"/>
      <c r="E24" s="74"/>
      <c r="F24" s="75"/>
      <c r="G24" s="75"/>
      <c r="H24" s="75"/>
      <c r="I24" s="75"/>
      <c r="J24" s="75"/>
      <c r="K24" s="75"/>
      <c r="L24" s="75"/>
      <c r="M24" s="75"/>
      <c r="N24" s="75"/>
      <c r="O24" s="75"/>
      <c r="P24" s="75"/>
      <c r="Q24" s="75"/>
      <c r="R24" s="75"/>
      <c r="S24" s="75"/>
      <c r="T24" s="75"/>
    </row>
    <row r="25" spans="1:20" s="527" customFormat="1" ht="15.75">
      <c r="A25" s="528"/>
      <c r="B25" s="699" t="s">
        <v>727</v>
      </c>
      <c r="C25" s="76"/>
      <c r="D25" s="76"/>
      <c r="E25" s="75"/>
      <c r="F25" s="75"/>
      <c r="G25" s="75"/>
      <c r="H25" s="75"/>
      <c r="I25" s="75"/>
      <c r="J25" s="75"/>
      <c r="K25" s="75"/>
      <c r="L25" s="75"/>
      <c r="M25" s="75"/>
      <c r="N25" s="75"/>
      <c r="O25" s="75"/>
      <c r="P25" s="75"/>
      <c r="Q25" s="75"/>
      <c r="R25" s="75"/>
      <c r="S25" s="75"/>
      <c r="T25" s="75"/>
    </row>
    <row r="26" spans="1:20" s="527" customFormat="1" ht="15">
      <c r="A26" s="528"/>
      <c r="B26" s="699" t="s">
        <v>728</v>
      </c>
      <c r="C26" s="700"/>
      <c r="D26" s="700"/>
      <c r="E26" s="700"/>
      <c r="F26" s="700"/>
      <c r="G26" s="700"/>
      <c r="H26" s="700"/>
      <c r="I26" s="700"/>
      <c r="J26" s="700"/>
      <c r="K26" s="700"/>
      <c r="L26" s="700"/>
      <c r="M26" s="700"/>
      <c r="N26" s="700"/>
      <c r="O26" s="700"/>
      <c r="P26" s="700"/>
      <c r="Q26" s="700"/>
      <c r="R26" s="700"/>
      <c r="S26" s="700"/>
      <c r="T26" s="700"/>
    </row>
    <row r="27" spans="1:20" s="527" customFormat="1" ht="15.75">
      <c r="A27" s="528"/>
      <c r="B27" s="699" t="s">
        <v>729</v>
      </c>
      <c r="C27" s="76"/>
      <c r="D27" s="76"/>
      <c r="E27" s="75"/>
      <c r="F27" s="75"/>
      <c r="G27" s="75"/>
      <c r="H27" s="75"/>
      <c r="I27" s="75"/>
      <c r="J27" s="75"/>
      <c r="K27" s="75"/>
      <c r="L27" s="75"/>
      <c r="M27" s="75"/>
      <c r="N27" s="75"/>
      <c r="O27" s="75"/>
      <c r="P27" s="75"/>
      <c r="Q27" s="75"/>
      <c r="R27" s="75"/>
      <c r="S27" s="75"/>
      <c r="T27" s="75"/>
    </row>
    <row r="28" spans="1:20" s="527" customFormat="1" ht="15.75">
      <c r="A28" s="528"/>
      <c r="B28" s="699" t="s">
        <v>730</v>
      </c>
      <c r="C28" s="76"/>
      <c r="D28" s="76"/>
      <c r="E28" s="75"/>
      <c r="F28" s="75"/>
      <c r="G28" s="75"/>
      <c r="H28" s="75"/>
      <c r="I28" s="75"/>
      <c r="J28" s="75"/>
      <c r="K28" s="75"/>
      <c r="L28" s="75"/>
      <c r="M28" s="75"/>
      <c r="N28" s="75"/>
      <c r="O28" s="75"/>
      <c r="P28" s="75"/>
      <c r="Q28" s="75"/>
      <c r="R28" s="75"/>
      <c r="S28" s="75"/>
      <c r="T28" s="75"/>
    </row>
    <row r="29" spans="1:20" s="527" customFormat="1" ht="15" customHeight="1">
      <c r="A29" s="528"/>
      <c r="B29" s="699" t="s">
        <v>731</v>
      </c>
      <c r="C29" s="76"/>
      <c r="D29" s="76"/>
      <c r="E29" s="75"/>
      <c r="F29" s="75"/>
      <c r="G29" s="75"/>
      <c r="H29" s="75"/>
      <c r="I29" s="75"/>
      <c r="J29" s="75"/>
      <c r="K29" s="75"/>
      <c r="L29" s="75"/>
      <c r="M29" s="75"/>
      <c r="N29" s="75"/>
      <c r="O29" s="75"/>
      <c r="P29" s="75"/>
      <c r="Q29" s="75"/>
      <c r="R29" s="75"/>
      <c r="S29" s="75"/>
      <c r="T29" s="75"/>
    </row>
    <row r="30" spans="2:20" s="527" customFormat="1" ht="15.75">
      <c r="B30" s="699" t="s">
        <v>732</v>
      </c>
      <c r="C30" s="76"/>
      <c r="D30" s="76"/>
      <c r="E30" s="75"/>
      <c r="F30" s="75"/>
      <c r="G30" s="75"/>
      <c r="H30" s="75"/>
      <c r="I30" s="75"/>
      <c r="J30" s="75"/>
      <c r="K30" s="75"/>
      <c r="L30" s="75"/>
      <c r="M30" s="75"/>
      <c r="N30" s="75"/>
      <c r="O30" s="75"/>
      <c r="P30" s="75"/>
      <c r="Q30" s="75"/>
      <c r="R30" s="75"/>
      <c r="S30" s="75"/>
      <c r="T30" s="75"/>
    </row>
    <row r="31" spans="2:20" s="527" customFormat="1" ht="15.75">
      <c r="B31" s="699" t="s">
        <v>733</v>
      </c>
      <c r="C31" s="76"/>
      <c r="D31" s="76"/>
      <c r="E31" s="75"/>
      <c r="F31" s="75"/>
      <c r="G31" s="75"/>
      <c r="H31" s="75"/>
      <c r="I31" s="75"/>
      <c r="J31" s="75"/>
      <c r="K31" s="75"/>
      <c r="L31" s="75"/>
      <c r="M31" s="75"/>
      <c r="N31" s="75"/>
      <c r="O31" s="75"/>
      <c r="P31" s="75"/>
      <c r="Q31" s="75"/>
      <c r="R31" s="75"/>
      <c r="S31" s="75"/>
      <c r="T31" s="75"/>
    </row>
    <row r="32" spans="2:20" s="527" customFormat="1" ht="15.75">
      <c r="B32" s="699" t="s">
        <v>734</v>
      </c>
      <c r="C32" s="76"/>
      <c r="D32" s="76"/>
      <c r="E32" s="75"/>
      <c r="F32" s="75"/>
      <c r="G32" s="75"/>
      <c r="H32" s="75"/>
      <c r="I32" s="75"/>
      <c r="J32" s="75"/>
      <c r="K32" s="75"/>
      <c r="L32" s="75"/>
      <c r="M32" s="75"/>
      <c r="N32" s="75"/>
      <c r="O32" s="75"/>
      <c r="P32" s="75"/>
      <c r="Q32" s="75"/>
      <c r="R32" s="75"/>
      <c r="S32" s="75"/>
      <c r="T32" s="75"/>
    </row>
    <row r="33" spans="2:20" s="527" customFormat="1" ht="15.75">
      <c r="B33" s="699" t="s">
        <v>735</v>
      </c>
      <c r="C33" s="76"/>
      <c r="D33" s="76"/>
      <c r="E33" s="75"/>
      <c r="F33" s="75"/>
      <c r="G33" s="75"/>
      <c r="H33" s="75"/>
      <c r="I33" s="75"/>
      <c r="J33" s="75"/>
      <c r="K33" s="75"/>
      <c r="L33" s="75"/>
      <c r="M33" s="75"/>
      <c r="N33" s="75"/>
      <c r="O33" s="75"/>
      <c r="P33" s="75"/>
      <c r="Q33" s="75"/>
      <c r="R33" s="75"/>
      <c r="S33" s="75"/>
      <c r="T33" s="75"/>
    </row>
    <row r="34" spans="2:20" ht="15.75">
      <c r="B34" s="529"/>
      <c r="C34" s="76"/>
      <c r="D34" s="76"/>
      <c r="E34" s="75"/>
      <c r="F34" s="75"/>
      <c r="G34" s="75"/>
      <c r="H34" s="75"/>
      <c r="I34" s="75"/>
      <c r="J34" s="75"/>
      <c r="K34" s="75"/>
      <c r="L34" s="75"/>
      <c r="M34" s="75"/>
      <c r="N34" s="75"/>
      <c r="O34" s="75"/>
      <c r="P34" s="75"/>
      <c r="Q34" s="75"/>
      <c r="R34" s="75"/>
      <c r="S34" s="75"/>
      <c r="T34" s="75"/>
    </row>
    <row r="35" spans="2:20" ht="15.75">
      <c r="B35" s="529"/>
      <c r="C35" s="76"/>
      <c r="D35" s="76"/>
      <c r="E35" s="75"/>
      <c r="F35" s="75"/>
      <c r="G35" s="75"/>
      <c r="H35" s="75"/>
      <c r="I35" s="75"/>
      <c r="J35" s="75"/>
      <c r="K35" s="75"/>
      <c r="L35" s="75"/>
      <c r="M35" s="75"/>
      <c r="N35" s="75"/>
      <c r="O35" s="75"/>
      <c r="P35" s="75"/>
      <c r="Q35" s="75"/>
      <c r="R35" s="75"/>
      <c r="S35" s="75"/>
      <c r="T35" s="75"/>
    </row>
    <row r="36" spans="2:20" ht="15.75">
      <c r="B36" s="77"/>
      <c r="C36" s="76"/>
      <c r="D36" s="76"/>
      <c r="E36" s="75"/>
      <c r="F36" s="75"/>
      <c r="G36" s="75"/>
      <c r="H36" s="75"/>
      <c r="I36" s="75"/>
      <c r="J36" s="75"/>
      <c r="K36" s="75"/>
      <c r="L36" s="75"/>
      <c r="M36" s="75"/>
      <c r="N36" s="75"/>
      <c r="O36" s="75"/>
      <c r="P36" s="75"/>
      <c r="Q36" s="75"/>
      <c r="R36" s="75"/>
      <c r="S36" s="75"/>
      <c r="T36" s="75"/>
    </row>
    <row r="37" spans="2:20" ht="15.75">
      <c r="B37" s="78"/>
      <c r="C37" s="76"/>
      <c r="D37" s="76"/>
      <c r="E37" s="75"/>
      <c r="F37" s="75"/>
      <c r="G37" s="75"/>
      <c r="H37" s="75"/>
      <c r="I37" s="75"/>
      <c r="J37" s="75"/>
      <c r="K37" s="75"/>
      <c r="L37" s="75"/>
      <c r="M37" s="75"/>
      <c r="N37" s="75"/>
      <c r="O37" s="75"/>
      <c r="P37" s="75"/>
      <c r="Q37" s="75"/>
      <c r="R37" s="75"/>
      <c r="S37" s="75"/>
      <c r="T37" s="75"/>
    </row>
    <row r="38" spans="2:20" ht="15.75">
      <c r="B38" s="78"/>
      <c r="C38" s="76"/>
      <c r="D38" s="76"/>
      <c r="E38" s="75"/>
      <c r="F38" s="75"/>
      <c r="G38" s="75"/>
      <c r="H38" s="75"/>
      <c r="I38" s="75"/>
      <c r="J38" s="75"/>
      <c r="K38" s="75"/>
      <c r="L38" s="75"/>
      <c r="M38" s="75"/>
      <c r="N38" s="75"/>
      <c r="O38" s="75"/>
      <c r="P38" s="75"/>
      <c r="Q38" s="75"/>
      <c r="R38" s="75"/>
      <c r="S38" s="75"/>
      <c r="T38" s="75"/>
    </row>
    <row r="39" spans="2:20" ht="15.75">
      <c r="B39" s="78"/>
      <c r="C39" s="76"/>
      <c r="D39" s="76"/>
      <c r="E39" s="75"/>
      <c r="F39" s="75"/>
      <c r="G39" s="75"/>
      <c r="H39" s="75"/>
      <c r="I39" s="75"/>
      <c r="J39" s="75"/>
      <c r="K39" s="75"/>
      <c r="L39" s="75"/>
      <c r="M39" s="75"/>
      <c r="N39" s="75"/>
      <c r="O39" s="75"/>
      <c r="P39" s="75"/>
      <c r="Q39" s="75"/>
      <c r="R39" s="75"/>
      <c r="S39" s="75"/>
      <c r="T39" s="75"/>
    </row>
    <row r="40" spans="2:20" ht="15.75">
      <c r="B40" s="78"/>
      <c r="C40" s="76"/>
      <c r="D40" s="76"/>
      <c r="E40" s="75"/>
      <c r="F40" s="75"/>
      <c r="G40" s="75"/>
      <c r="H40" s="75"/>
      <c r="I40" s="75"/>
      <c r="J40" s="75"/>
      <c r="K40" s="75"/>
      <c r="L40" s="75"/>
      <c r="M40" s="75"/>
      <c r="N40" s="75"/>
      <c r="O40" s="75"/>
      <c r="P40" s="75"/>
      <c r="Q40" s="75"/>
      <c r="R40" s="75"/>
      <c r="S40" s="75"/>
      <c r="T40" s="75"/>
    </row>
  </sheetData>
  <sheetProtection/>
  <mergeCells count="26">
    <mergeCell ref="R9:T9"/>
    <mergeCell ref="J10:J11"/>
    <mergeCell ref="M10:M11"/>
    <mergeCell ref="K10:K11"/>
    <mergeCell ref="L10:L11"/>
    <mergeCell ref="Q10:Q11"/>
    <mergeCell ref="P10:P11"/>
    <mergeCell ref="O10:O11"/>
    <mergeCell ref="N10:N11"/>
    <mergeCell ref="I10:I11"/>
    <mergeCell ref="B10:B11"/>
    <mergeCell ref="C10:C11"/>
    <mergeCell ref="G10:G11"/>
    <mergeCell ref="H10:H11"/>
    <mergeCell ref="D10:D11"/>
    <mergeCell ref="E10:E11"/>
    <mergeCell ref="K1:U1"/>
    <mergeCell ref="K2:U2"/>
    <mergeCell ref="A5:T5"/>
    <mergeCell ref="A6:T6"/>
    <mergeCell ref="S10:S11"/>
    <mergeCell ref="T10:T11"/>
    <mergeCell ref="A7:T7"/>
    <mergeCell ref="A10:A11"/>
    <mergeCell ref="F10:F11"/>
    <mergeCell ref="R10:R11"/>
  </mergeCells>
  <printOptions/>
  <pageMargins left="0.47" right="0.28" top="0.59" bottom="0.47" header="0.5" footer="0.3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2022-12-14T08:50:59Z</cp:lastPrinted>
  <dcterms:created xsi:type="dcterms:W3CDTF">2017-12-11T12:30:33Z</dcterms:created>
  <dcterms:modified xsi:type="dcterms:W3CDTF">2022-12-14T09:36:50Z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QY5UZ4ZQWDMN-2102554853-1710</vt:lpwstr>
  </property>
  <property fmtid="{D5CDD505-2E9C-101B-9397-08002B2CF9AE}" pid="4" name="_dlc_DocIdItemGu">
    <vt:lpwstr>b8d54f7e-8aa8-495f-849b-90ca95f40bfe</vt:lpwstr>
  </property>
  <property fmtid="{D5CDD505-2E9C-101B-9397-08002B2CF9AE}" pid="5" name="_dlc_DocIdU">
    <vt:lpwstr>http://testweb.dongnai.gov.vn:8835/_layouts/15/DocIdRedir.aspx?ID=QY5UZ4ZQWDMN-2102554853-1710, QY5UZ4ZQWDMN-2102554853-1710</vt:lpwstr>
  </property>
</Properties>
</file>