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5300" windowHeight="5625" tabRatio="892" activeTab="0"/>
  </bookViews>
  <sheets>
    <sheet name="PL 01 (THU)" sheetId="1" r:id="rId1"/>
    <sheet name="PL02" sheetId="2" r:id="rId2"/>
    <sheet name="PL 03" sheetId="3" r:id="rId3"/>
    <sheet name="QLNN" sheetId="4" r:id="rId4"/>
    <sheet name="DVI SN" sheetId="5" r:id="rId5"/>
    <sheet name="SN GIAODUC-muc moi" sheetId="6" r:id="rId6"/>
    <sheet name="PL 05" sheetId="7" r:id="rId7"/>
    <sheet name="PL06" sheetId="8" r:id="rId8"/>
    <sheet name="PL07" sheetId="9" r:id="rId9"/>
    <sheet name="CD THU-CHI XA" sheetId="10" r:id="rId10"/>
    <sheet name="ATGT" sheetId="11" r:id="rId11"/>
    <sheet name="DAC THU" sheetId="12" r:id="rId12"/>
    <sheet name="thu HP" sheetId="13" r:id="rId13"/>
    <sheet name="THU DV" sheetId="14" r:id="rId14"/>
  </sheets>
  <externalReferences>
    <externalReference r:id="rId17"/>
  </externalReferences>
  <definedNames>
    <definedName name="_xlnm.Print_Titles" localSheetId="10">'ATGT'!$11:$11</definedName>
    <definedName name="_xlnm.Print_Titles" localSheetId="11">'DAC THU'!$8:$8</definedName>
    <definedName name="_xlnm.Print_Titles" localSheetId="4">'DVI SN'!$7:$12</definedName>
    <definedName name="_xlnm.Print_Titles" localSheetId="0">'PL 01 (THU)'!$8:$9</definedName>
    <definedName name="_xlnm.Print_Titles" localSheetId="2">'PL 03'!$8:$8</definedName>
    <definedName name="_xlnm.Print_Titles" localSheetId="6">'PL 05'!$8:$10</definedName>
    <definedName name="_xlnm.Print_Titles" localSheetId="1">'PL02'!$8:$8</definedName>
    <definedName name="_xlnm.Print_Titles" localSheetId="7">'PL06'!$8:$10</definedName>
    <definedName name="_xlnm.Print_Titles" localSheetId="3">'QLNN'!$10:$13</definedName>
    <definedName name="_xlnm.Print_Titles" localSheetId="5">'SN GIAODUC-muc moi'!$7:$12</definedName>
    <definedName name="_xlnm.Print_Titles" localSheetId="13">'THU DV'!$8:$9</definedName>
    <definedName name="_xlnm.Print_Titles" localSheetId="12">'thu HP'!$8:$9</definedName>
  </definedNames>
  <calcPr fullCalcOnLoad="1"/>
</workbook>
</file>

<file path=xl/comments1.xml><?xml version="1.0" encoding="utf-8"?>
<comments xmlns="http://schemas.openxmlformats.org/spreadsheetml/2006/main">
  <authors>
    <author>USER-PC</author>
  </authors>
  <commentList>
    <comment ref="B35" authorId="0">
      <text>
        <r>
          <rPr>
            <b/>
            <sz val="8"/>
            <rFont val="Tahoma"/>
            <family val="2"/>
          </rPr>
          <t xml:space="preserve">USER-PC:
Đúng: Tổng thu Ngân sách trên địa bàn 
</t>
        </r>
      </text>
    </comment>
  </commentList>
</comments>
</file>

<file path=xl/comments3.xml><?xml version="1.0" encoding="utf-8"?>
<comments xmlns="http://schemas.openxmlformats.org/spreadsheetml/2006/main">
  <authors>
    <author>user</author>
  </authors>
  <commentList>
    <comment ref="C105" authorId="0">
      <text>
        <r>
          <rPr>
            <b/>
            <sz val="9"/>
            <rFont val="Tahoma"/>
            <family val="2"/>
          </rPr>
          <t>t</t>
        </r>
        <r>
          <rPr>
            <sz val="12"/>
            <rFont val="Tahoma"/>
            <family val="2"/>
          </rPr>
          <t>ổng : 2264 trđ; giao ve xa 118 trđ= còn lai NSTP 2.146 trđ</t>
        </r>
      </text>
    </comment>
    <comment ref="B114" authorId="0">
      <text>
        <r>
          <rPr>
            <sz val="8"/>
            <rFont val="Tahoma"/>
            <family val="2"/>
          </rPr>
          <t>da phân bổ cho xa 116 triệu đồng. Không để trên cấp thành phố</t>
        </r>
      </text>
    </comment>
  </commentList>
</comments>
</file>

<file path=xl/comments4.xml><?xml version="1.0" encoding="utf-8"?>
<comments xmlns="http://schemas.openxmlformats.org/spreadsheetml/2006/main">
  <authors>
    <author>user</author>
  </authors>
  <commentList>
    <comment ref="Q19" authorId="0">
      <text>
        <r>
          <rPr>
            <b/>
            <sz val="9"/>
            <rFont val="Tahoma"/>
            <family val="2"/>
          </rPr>
          <t>user:</t>
        </r>
        <r>
          <rPr>
            <sz val="9"/>
            <rFont val="Tahoma"/>
            <family val="2"/>
          </rPr>
          <t xml:space="preserve">
thu chợ hoa: 240</t>
        </r>
      </text>
    </comment>
  </commentList>
</comments>
</file>

<file path=xl/comments5.xml><?xml version="1.0" encoding="utf-8"?>
<comments xmlns="http://schemas.openxmlformats.org/spreadsheetml/2006/main">
  <authors>
    <author>user</author>
  </authors>
  <commentList>
    <comment ref="U62" authorId="0">
      <text>
        <r>
          <rPr>
            <b/>
            <sz val="10"/>
            <rFont val="Tahoma"/>
            <family val="2"/>
          </rPr>
          <t>trừ cấp snyt:4,500 trđ</t>
        </r>
        <r>
          <rPr>
            <sz val="8"/>
            <rFont val="Tahoma"/>
            <family val="2"/>
          </rPr>
          <t xml:space="preserve">
</t>
        </r>
      </text>
    </comment>
    <comment ref="Z19" authorId="0">
      <text>
        <r>
          <rPr>
            <b/>
            <sz val="9"/>
            <rFont val="Tahoma"/>
            <family val="2"/>
          </rPr>
          <t>user:</t>
        </r>
        <r>
          <rPr>
            <sz val="9"/>
            <rFont val="Tahoma"/>
            <family val="2"/>
          </rPr>
          <t xml:space="preserve">
thu học phí</t>
        </r>
      </text>
    </comment>
    <comment ref="AF19" authorId="0">
      <text>
        <r>
          <rPr>
            <b/>
            <sz val="9"/>
            <rFont val="Tahoma"/>
            <family val="2"/>
          </rPr>
          <t>user:</t>
        </r>
        <r>
          <rPr>
            <sz val="9"/>
            <rFont val="Tahoma"/>
            <family val="2"/>
          </rPr>
          <t xml:space="preserve">
thu chợ hoa: 240</t>
        </r>
      </text>
    </comment>
    <comment ref="W16" authorId="0">
      <text>
        <r>
          <rPr>
            <b/>
            <sz val="9"/>
            <rFont val="Tahoma"/>
            <family val="2"/>
          </rPr>
          <t>user:</t>
        </r>
        <r>
          <rPr>
            <sz val="9"/>
            <rFont val="Tahoma"/>
            <family val="2"/>
          </rPr>
          <t xml:space="preserve">
trang thông tin điện tử
</t>
        </r>
      </text>
    </comment>
  </commentList>
</comments>
</file>

<file path=xl/sharedStrings.xml><?xml version="1.0" encoding="utf-8"?>
<sst xmlns="http://schemas.openxmlformats.org/spreadsheetml/2006/main" count="1317" uniqueCount="889">
  <si>
    <t>Cấp ủy viên là Thành ủy viên</t>
  </si>
  <si>
    <t>Văn phòng Thành ủy</t>
  </si>
  <si>
    <t xml:space="preserve"> - Hợp đồng 161</t>
  </si>
  <si>
    <t xml:space="preserve"> - CB-CC</t>
  </si>
  <si>
    <t>Trung tâm GDNN - GDTX</t>
  </si>
  <si>
    <t>NGUỒN THU CÂN ĐỐI (I+II)</t>
  </si>
  <si>
    <t>Nguồn phí giữ xe đạp</t>
  </si>
  <si>
    <t>KHỐI ĐOÀN THỂ</t>
  </si>
  <si>
    <t xml:space="preserve">- Chi lương, hoạt động cho các cơ quan quản lý nhà nước </t>
  </si>
  <si>
    <t xml:space="preserve">- Chi lương, hoạt động cho các cơ quan Đảng </t>
  </si>
  <si>
    <t xml:space="preserve">- Chi lương, hoạt động cho các tổ chức chính trị-xã hội (Đoàn thể) </t>
  </si>
  <si>
    <t>- Chi lương, hoạt động cho hội đặc thù</t>
  </si>
  <si>
    <t>- Kinh phí hoạt động đặc thù  Đảng</t>
  </si>
  <si>
    <t>- Kinh phí hoạt động các Đảng bộ khối</t>
  </si>
  <si>
    <t>- Kinh phí hoạt động đặc thù của các khối Đoàn thể</t>
  </si>
  <si>
    <t>- Kinh phí hoạt động đặc thù các Hội đặc thù</t>
  </si>
  <si>
    <t>- Kinh phí phụ cấp UBND thành phố</t>
  </si>
  <si>
    <t>- Kinh phí phụ cấp và hoat động Hội đồng nhân dân</t>
  </si>
  <si>
    <t>- Kinh phí đặc thù tôn giáo</t>
  </si>
  <si>
    <t>- Kinh phí Khen Thưởng</t>
  </si>
  <si>
    <t>- Kinh phí hoạt động Kinh tế tập thể</t>
  </si>
  <si>
    <t>- Kinh phí hoạt động cấp giấy phép ĐKKD</t>
  </si>
  <si>
    <t>- Ban ATGT; tổ trật tự ATGT; Trang phục quần áo, nhiên liệu.</t>
  </si>
  <si>
    <t>- Công tác tuyên truyền, hỗ trợ thu phạt ATGT</t>
  </si>
  <si>
    <t>Chi XDCB từ nguồn sử dụng đất thành phố (60%)</t>
  </si>
  <si>
    <t>Chi XHH giao thông - điện (cấp xã)</t>
  </si>
  <si>
    <t xml:space="preserve"> - Phòng Tài nguyên và Môi trường</t>
  </si>
  <si>
    <t>UBMTTQVN TP</t>
  </si>
  <si>
    <t xml:space="preserve">Văn phòng Thành ủy </t>
  </si>
  <si>
    <t>Ủy ban Mặt trận tổ quốc Việt Nam thành phố</t>
  </si>
  <si>
    <t>Phường Bảo Vinh</t>
  </si>
  <si>
    <t>Phường Bàu sen</t>
  </si>
  <si>
    <t>Phường Suối Tre</t>
  </si>
  <si>
    <t>Phường Xuân Lập</t>
  </si>
  <si>
    <t>Phường Xuân Tân</t>
  </si>
  <si>
    <t>SỰ NGHIỆP VĂN HÓA, THÔNG TIN</t>
  </si>
  <si>
    <t>SỰ NGHIỆP PHÁT THANH</t>
  </si>
  <si>
    <t>Nguồn thu quản lý qua NS</t>
  </si>
  <si>
    <t>HĐ Quản trang (trong BC)</t>
  </si>
  <si>
    <t>HĐ Bảo vệ Đền thờ (trong BC)</t>
  </si>
  <si>
    <t>HĐ QL kho Lưu trữ (trong BC)</t>
  </si>
  <si>
    <t>Phụ lục số 4b</t>
  </si>
  <si>
    <t>Phụ lục số 4c</t>
  </si>
  <si>
    <t xml:space="preserve">SỰ NGHIỆP MÔI TRƯỜNG  </t>
  </si>
  <si>
    <t>TỔNG CHI NGÂN SÁCH ĐỊA PHƯƠNG (A+B+C+D)</t>
  </si>
  <si>
    <t>Phụ cấp kiêm nhiệm các thành viên Ban ATGT 43 TV * 250.000đ/tháng * 12 tháng</t>
  </si>
  <si>
    <t>Lương các thành viên tổ TTATGT (18TV*1.500.000đ/tháng* 12 tháng)</t>
  </si>
  <si>
    <t>Phụ cấp trách nhiệm tổ trưởng (200.000đ *12 tháng)</t>
  </si>
  <si>
    <t>Phụ cấp trách nhiệm tổ phó (150.000đ * 12 tháng)</t>
  </si>
  <si>
    <t>Nguồn thu từ sử dụng đất</t>
  </si>
  <si>
    <t>Thu cân đối ngân sách thành phố</t>
  </si>
  <si>
    <t>_Kinh phí Đại hội Đảng Bộ thành phố</t>
  </si>
  <si>
    <t>_Kinh phí Đại hội Đảng Bộ khối Đảng</t>
  </si>
  <si>
    <t>Kinh phí Đại hội  Đảng Bộ</t>
  </si>
  <si>
    <t>_Kinh phí Đại hội Đảng Bộ Khối Vận</t>
  </si>
  <si>
    <t>_Kinh phí Đại hội Đảng Bộ Khối Văn hóa- Xã hội</t>
  </si>
  <si>
    <t>_Kinh phí Đại hội Đảng Bộ Khối Kinh Tế</t>
  </si>
  <si>
    <t>Trung tâm văn hóa -Thể Thao (hội hoa xuân)</t>
  </si>
  <si>
    <t>Trung tâm GD NN - GD thường xuyên (xe đạp)</t>
  </si>
  <si>
    <t>các trường THCS (phí xe đạp)</t>
  </si>
  <si>
    <t>Nhà văn hóa thiếu nhi (xe đạp)</t>
  </si>
  <si>
    <t>Nhà văn hóa thiếu nhi (cho thuê mặt bằng)</t>
  </si>
  <si>
    <t>Sự nghiệp phát thanh truyền hình: (dịch vụ)</t>
  </si>
  <si>
    <t>SỰ NGHIỆP VĂN HÓA</t>
  </si>
  <si>
    <t xml:space="preserve">THÀNH PHỐ LONG KHÁNH                                                 </t>
  </si>
  <si>
    <t xml:space="preserve">     ỦY BAN NHÂN DÂN                                     </t>
  </si>
  <si>
    <t>4=(L+PC) x 1,49x12th</t>
  </si>
  <si>
    <t>5=3+4</t>
  </si>
  <si>
    <t xml:space="preserve"> Nguồn thu giữ xe đạp, dịch vụ được trích lại theo quy định</t>
  </si>
  <si>
    <t>1=2+3+4</t>
  </si>
  <si>
    <t>Giao dự toán tính tròn số</t>
  </si>
  <si>
    <t>Kinh phí hoạt động Chi Bộ Phòng Tư pháp (do không có Đảng bộ khối)</t>
  </si>
  <si>
    <t>+ Kinh phí hoạt động Chi Bộ Thanh tra thành phố (do không có Đảng bộ khối)</t>
  </si>
  <si>
    <t>Chi công tác đào tạo nghề nông thôn</t>
  </si>
  <si>
    <t>Chi đảm bảo cho hoạt động, lương Trung tâm dạy nghề - giáo dục thường xuyên</t>
  </si>
  <si>
    <t>3.1</t>
  </si>
  <si>
    <t>3.2</t>
  </si>
  <si>
    <t>3.3</t>
  </si>
  <si>
    <t xml:space="preserve">Số còn lại cân đối chi </t>
  </si>
  <si>
    <t>SỰ NGHIỆP THỂ DỤC- THỂ THAO</t>
  </si>
  <si>
    <t xml:space="preserve"> nguồn thu được cân đối sử dụng</t>
  </si>
  <si>
    <t>DỰ TOÁN</t>
  </si>
  <si>
    <t>TIẾT KIỆM</t>
  </si>
  <si>
    <t>DỰ TOÁN ĐÃ TRỪ TIẾT KIỆM</t>
  </si>
  <si>
    <t>KHỐI ĐẢNG</t>
  </si>
  <si>
    <t>CÁC TỔ CHỨC HỘI ĐẶC THÙ</t>
  </si>
  <si>
    <t>QUẢN LÝ NHÀ NƯỚC</t>
  </si>
  <si>
    <t>e</t>
  </si>
  <si>
    <t>h</t>
  </si>
  <si>
    <t>Phòng Dân Tộc</t>
  </si>
  <si>
    <t>Kinh phí hoạt động trang thông tin điện tử</t>
  </si>
  <si>
    <t>Chỉ tiêu</t>
  </si>
  <si>
    <t>Tỷ lệ điều tiết được hưởng</t>
  </si>
  <si>
    <t>Xuân An</t>
  </si>
  <si>
    <t>Xuân Bình</t>
  </si>
  <si>
    <t>Xuân Hòa</t>
  </si>
  <si>
    <t>Xuân Thanh</t>
  </si>
  <si>
    <t>Xuân Trung</t>
  </si>
  <si>
    <t>Phú Bình</t>
  </si>
  <si>
    <t>Bảo Quang</t>
  </si>
  <si>
    <t>Bảo Vinh</t>
  </si>
  <si>
    <t>Bàu Sen</t>
  </si>
  <si>
    <t>Bàu Trâm</t>
  </si>
  <si>
    <t>Bình Lộc</t>
  </si>
  <si>
    <t>Hàng Gòn</t>
  </si>
  <si>
    <t>Suối Tre</t>
  </si>
  <si>
    <t>Xuân Lập</t>
  </si>
  <si>
    <t>Xuân Tân</t>
  </si>
  <si>
    <t>TỔNG THU (I+II)</t>
  </si>
  <si>
    <t>-</t>
  </si>
  <si>
    <t>Thuế GTGT</t>
  </si>
  <si>
    <t>Tổng chi ngân sách</t>
  </si>
  <si>
    <t>Chi lương và hoạt động</t>
  </si>
  <si>
    <t>CÁC KHOẢN HUY ĐỘNG ĐÓNG GÓP</t>
  </si>
  <si>
    <t>Thu các khoản huy động đóng góp</t>
  </si>
  <si>
    <t>Chi các khoản huy động, đóng góp</t>
  </si>
  <si>
    <t>Phụ lục số 08</t>
  </si>
  <si>
    <t>Thuế tiêu thụ đặc biệt</t>
  </si>
  <si>
    <t>Thuế tài nguyên</t>
  </si>
  <si>
    <t>Thuế thu nhập cá nhân:</t>
  </si>
  <si>
    <t>Từ kinh doanh, tiền lương</t>
  </si>
  <si>
    <t>Từ chuyển quyền SDĐ</t>
  </si>
  <si>
    <t>Thuế chuyển quyền SDĐ</t>
  </si>
  <si>
    <t>Lệ phí trước bạ</t>
  </si>
  <si>
    <t>Thuế sử dụng đất PNN</t>
  </si>
  <si>
    <t>Bộ thuế sử dụng đất PNN</t>
  </si>
  <si>
    <t>Nợ thuế nhà đất+PNN</t>
  </si>
  <si>
    <t>Phí, lệ phí</t>
  </si>
  <si>
    <t>Phí môn bài</t>
  </si>
  <si>
    <t>Thu khác ngân sách</t>
  </si>
  <si>
    <t>Thu phạt ATGT</t>
  </si>
  <si>
    <t>Thu XHH Giao thông, Điện</t>
  </si>
  <si>
    <t xml:space="preserve">B </t>
  </si>
  <si>
    <t>CÂN ĐỐI THU CHI NGÂN SÁCH</t>
  </si>
  <si>
    <t>Các khoản thu hưởng 100%</t>
  </si>
  <si>
    <t>Tổng chi NS</t>
  </si>
  <si>
    <t xml:space="preserve">   ỦY BAN NHÂN DÂN </t>
  </si>
  <si>
    <t xml:space="preserve">         CỘNG HÒA XÃ HỘI CHỦ NGHĨA VIỆT NAM</t>
  </si>
  <si>
    <t xml:space="preserve">      Độc Lập - Tự Do - Hạnh Phúc</t>
  </si>
  <si>
    <t>Phụ lục số 07</t>
  </si>
  <si>
    <t>LCB</t>
  </si>
  <si>
    <t>Nội dung chi</t>
  </si>
  <si>
    <t>Quy định</t>
  </si>
  <si>
    <t>Định mức</t>
  </si>
  <si>
    <t>XUÂN AN</t>
  </si>
  <si>
    <t>XUÂN BÌNH</t>
  </si>
  <si>
    <t>XUÂN HÒA</t>
  </si>
  <si>
    <t>XUÂN THANH</t>
  </si>
  <si>
    <t>XUÂN TRUNG</t>
  </si>
  <si>
    <t>PHÚ BÌNH</t>
  </si>
  <si>
    <t>BẢO QUANG</t>
  </si>
  <si>
    <t>BẢO VINH</t>
  </si>
  <si>
    <t>BÀU SEN</t>
  </si>
  <si>
    <t>BÀU TRÂM</t>
  </si>
  <si>
    <t>BÌNH LỘC</t>
  </si>
  <si>
    <t>HÀNG GÒN</t>
  </si>
  <si>
    <t>SUỐI TRE</t>
  </si>
  <si>
    <t>XUÂN LẬP</t>
  </si>
  <si>
    <t>XUÂN TÂN</t>
  </si>
  <si>
    <t>D</t>
  </si>
  <si>
    <t>1+2</t>
  </si>
  <si>
    <t>a+b</t>
  </si>
  <si>
    <t>KP hoạt động thường xuyên (đã trừ tiết kiệm)</t>
  </si>
  <si>
    <t xml:space="preserve">Dự phòng </t>
  </si>
  <si>
    <t>Độc lập - Tự Do - Hạnh phúc</t>
  </si>
  <si>
    <t>Đvt: triệu đồng</t>
  </si>
  <si>
    <t xml:space="preserve">ĐƠN VỊ </t>
  </si>
  <si>
    <t>I. Thuế ngoài quốc doanh</t>
  </si>
  <si>
    <t>II. Thuế thu nhập cá nhân</t>
  </si>
  <si>
    <t>III. Lệ phí trước bạ đất</t>
  </si>
  <si>
    <t>IV. Nợ thuế CQSDĐ</t>
  </si>
  <si>
    <t>V.Thuế sử dụng đất phi nông nghiệp</t>
  </si>
  <si>
    <t>VI. Thuế SD  ĐNN</t>
  </si>
  <si>
    <t>VII.   Thu  Phí Lệ phí</t>
  </si>
  <si>
    <t>VIII.  Thu khác NS (Thu phạt HC, thanh lý tài sản, hoa lợi công sản, …)</t>
  </si>
  <si>
    <t>Cộng lĩnh vực Thuế ngoài doanh</t>
  </si>
  <si>
    <t>Tổng số</t>
  </si>
  <si>
    <t>Phạt hành chính,…</t>
  </si>
  <si>
    <t>Thu hoa lợi công sản</t>
  </si>
  <si>
    <t>Thu các khoản huy động, đóng góp</t>
  </si>
  <si>
    <t>Cân đối thu, chi ngân sách</t>
  </si>
  <si>
    <t>Tổng thu</t>
  </si>
  <si>
    <t>Các khoản huy động, đóng góp</t>
  </si>
  <si>
    <t>Chi Ngân sách</t>
  </si>
  <si>
    <t>Chia ra</t>
  </si>
  <si>
    <t>Bộ thuế khoán GTGT</t>
  </si>
  <si>
    <t>thuế TTĐB</t>
  </si>
  <si>
    <t>thuế Tài nguyên</t>
  </si>
  <si>
    <t>Thuế TNDN</t>
  </si>
  <si>
    <t>Từ chuyển nhượng nhà, đất</t>
  </si>
  <si>
    <t>Cộng</t>
  </si>
  <si>
    <t>Thu khác NS</t>
  </si>
  <si>
    <t>Thu Bộ 2016</t>
  </si>
  <si>
    <t>Thu nợ thuế nhà đất+SDĐPNN</t>
  </si>
  <si>
    <t>Thu Bộ 2018</t>
  </si>
  <si>
    <t>Thu nợ thuế các năm</t>
  </si>
  <si>
    <t>Tổng thu cân đối được hưởng</t>
  </si>
  <si>
    <t xml:space="preserve">Số thu hưởng tỷ lệ </t>
  </si>
  <si>
    <t>Phường Xuân An</t>
  </si>
  <si>
    <t>Phường Xuân Bình</t>
  </si>
  <si>
    <t>Phường Xuân Hoà</t>
  </si>
  <si>
    <t>Phường Xuân Thanh</t>
  </si>
  <si>
    <t>Phường Xuân Trung</t>
  </si>
  <si>
    <t>Phường Phú Bình</t>
  </si>
  <si>
    <t>Xã Bảo Quang</t>
  </si>
  <si>
    <t>Xã Bàu Trâm</t>
  </si>
  <si>
    <t>Xã Bình Lộc</t>
  </si>
  <si>
    <t>Xã Hàng Gòn</t>
  </si>
  <si>
    <t>Kinh phí hoạt động cấp giấy phép ĐKKD</t>
  </si>
  <si>
    <t>Phụ lục 06</t>
  </si>
  <si>
    <t>Thuế sử dụng đất nông nghiệp</t>
  </si>
  <si>
    <t>Chi quản lý hành chính</t>
  </si>
  <si>
    <t>Thu Ngân sách</t>
  </si>
  <si>
    <t>Thu từ nguồn xã hội hóa</t>
  </si>
  <si>
    <t xml:space="preserve">Số thu cân đối ngân sách </t>
  </si>
  <si>
    <t>Số thu NS hưởng 100%</t>
  </si>
  <si>
    <t>Tỷ lệ điều tiết hưởng theo số thu</t>
  </si>
  <si>
    <t>không điều tiết</t>
  </si>
  <si>
    <t>Thuế SDĐPNN, Thuế SDĐNN, Phí. LP, Thu khác NS</t>
  </si>
  <si>
    <t>a)</t>
  </si>
  <si>
    <t>b)</t>
  </si>
  <si>
    <t>Nguồn thu cho thuê mặt bằng</t>
  </si>
  <si>
    <t>Nguồn thu tổ chức hội hoa xuân</t>
  </si>
  <si>
    <t>SỰ NGHIỆP KINH TẾ</t>
  </si>
  <si>
    <t>Chi SN Thể Thao</t>
  </si>
  <si>
    <t>xã</t>
  </si>
  <si>
    <t>*</t>
  </si>
  <si>
    <t>Ghi chú:</t>
  </si>
  <si>
    <t>ĐƠN VỊ</t>
  </si>
  <si>
    <t>Số tiền nộp NS</t>
  </si>
  <si>
    <t>Thu từ nguồn phí làm thẻ bạn đọc</t>
  </si>
  <si>
    <t>Tổng số lớp</t>
  </si>
  <si>
    <t>Tổng số HS</t>
  </si>
  <si>
    <t>Mức thu
 học phí</t>
  </si>
  <si>
    <t>Số 
tháng</t>
  </si>
  <si>
    <t>60% chi 
hoạt động</t>
  </si>
  <si>
    <t>40% 
CCTL</t>
  </si>
  <si>
    <t>KHỐI MN</t>
  </si>
  <si>
    <t>Mầm non Bình Minh</t>
  </si>
  <si>
    <t>Mầm non An Bình</t>
  </si>
  <si>
    <t>MG Bảo Quang</t>
  </si>
  <si>
    <t>MG Phú Bình</t>
  </si>
  <si>
    <t>MG Xuân Thanh</t>
  </si>
  <si>
    <t>MG Xuân Tân</t>
  </si>
  <si>
    <t>Mầm non 19/5</t>
  </si>
  <si>
    <t>Mầm non Sen Hồng</t>
  </si>
  <si>
    <t xml:space="preserve">Mầm non An Lộc </t>
  </si>
  <si>
    <t>Mầm non Hoa Sen</t>
  </si>
  <si>
    <t>MG Vành Khuyên</t>
  </si>
  <si>
    <t xml:space="preserve">                      Trong cân đối</t>
  </si>
  <si>
    <t xml:space="preserve"> Chi hoạt động sự nghiệp</t>
  </si>
  <si>
    <t>trong đó: chi đầu tư từng lĩnh vực</t>
  </si>
  <si>
    <t>Kinh phí hỗ trợ theo Quyết định 65/QĐ-UBND</t>
  </si>
  <si>
    <t>CHI ĐẦU TƯ PHÁT TRIỂN</t>
  </si>
  <si>
    <t>CHI THƯỜNG XUYÊN</t>
  </si>
  <si>
    <t>CHI AN NINH - QUỐC PHÒNG</t>
  </si>
  <si>
    <t>CHI ĐẢM BẢO XÃ HỘI</t>
  </si>
  <si>
    <t>CHI QUẢN LÝ HÀNH CHÍNH</t>
  </si>
  <si>
    <t>SỰ NGHIỆP VĂN HÓA THÔNG TIN VÀ THỂ DỤC THỂ THAO:</t>
  </si>
  <si>
    <t>TÊN ĐƠN VỊ</t>
  </si>
  <si>
    <t>SỐ TIỀN</t>
  </si>
  <si>
    <t>I.1</t>
  </si>
  <si>
    <t>I.2</t>
  </si>
  <si>
    <t>I.3</t>
  </si>
  <si>
    <t>Kinh phí tổ chức khám lọc và đưa đoàn đi phẫu thuật mắt tại Tp. Hồ Chí Minh; Tổ chức Lễ hội Xuân Hồng; Tổ chức Lễ hội Giọt máu hồng hè và hoạt động khác</t>
  </si>
  <si>
    <t>Thực hiện Đề án của BCH Đảng bộ tỉnh về công tác Phụ nữ; Lương đề án</t>
  </si>
  <si>
    <t>Kinh phí quét dọn chăm sóc cây xanh; điện chiếu sáng; lễ viếng đền thờ và hoạt động khác</t>
  </si>
  <si>
    <t>Chi SN Văn hóa và Thông tin</t>
  </si>
  <si>
    <t xml:space="preserve">Quốc phòng: </t>
  </si>
  <si>
    <t>Chi sự nghiệp giáo dục:</t>
  </si>
  <si>
    <t>Chi đầu tư từ nguồn vốn</t>
  </si>
  <si>
    <t>Nguồn thu từ hợp đồng quay phim</t>
  </si>
  <si>
    <t>CHI TỪ NGUỒN THU CÁC KHOẢN ĐÓNG GÓP, DỊCH VỤ</t>
  </si>
  <si>
    <t xml:space="preserve">  ỦY BAN NHÂN DÂN</t>
  </si>
  <si>
    <t>(Kèm theo Quyết định số      /QĐ-UBND ngày     /11/2014 của UBND thị xã)</t>
  </si>
  <si>
    <t>Trưởng ban, Phó ban ATGT 
(3 người x 1.000.000đ x 12 tháng)</t>
  </si>
  <si>
    <t>Trang phục quần áo cho tổ TTATGT 
(18TV*800.000/bộ (khoán 2 bộ quần áo + giày+vât dụng khác))</t>
  </si>
  <si>
    <t>Chi Nhiên liệu cho tổ TTATGT</t>
  </si>
  <si>
    <t>Chi sửa chữa thiết bị, phương tiện</t>
  </si>
  <si>
    <t>Chi khác (vật tư văn phòng)</t>
  </si>
  <si>
    <t xml:space="preserve">Chi in ấn tài liệu, biểu mẫu và công tác nghiệp vụ </t>
  </si>
  <si>
    <t>Chi cho công tác tuyên truyền</t>
  </si>
  <si>
    <t>Chi phụ cấp hàng tháng cho Chánh VP và cán bộ tổng hợp (5 người x 1.000.000đ x 12 tháng)</t>
  </si>
  <si>
    <t>Chi khác (tổ chức họp, hội nghị…)</t>
  </si>
  <si>
    <t>Kinh phí đảm bảo trật tự an toàn giao thông
6ng *1.000.000đ/th*12th</t>
  </si>
  <si>
    <t>Chi công tác tuyên truyền ATGT, hỗ trợ thu phạt trên địa bàn</t>
  </si>
  <si>
    <t>Chi công tác tuyên truyền về ATGT</t>
  </si>
  <si>
    <t>Chi hỗ trợ thu phạt trên địa bàn</t>
  </si>
  <si>
    <t xml:space="preserve">Kinh phí ATGT </t>
  </si>
  <si>
    <t>Chi ATGT:</t>
  </si>
  <si>
    <t>Hội chữ thập đỏ</t>
  </si>
  <si>
    <t>CỘNG (I+II+III+IV+V)</t>
  </si>
  <si>
    <t>ĐVT: Triệu đồng</t>
  </si>
  <si>
    <t>STT</t>
  </si>
  <si>
    <t>A</t>
  </si>
  <si>
    <t>I</t>
  </si>
  <si>
    <t>II</t>
  </si>
  <si>
    <t>III</t>
  </si>
  <si>
    <t>IV</t>
  </si>
  <si>
    <t>B</t>
  </si>
  <si>
    <t>Phụ lục số 1</t>
  </si>
  <si>
    <t>CHỈ TIÊU</t>
  </si>
  <si>
    <t>Tỷ lệ điều tiết</t>
  </si>
  <si>
    <t>Thu ngoài quốc doanh</t>
  </si>
  <si>
    <t>Thuế thu nhập cá nhân</t>
  </si>
  <si>
    <t>Thuế bảo vệ môi trường</t>
  </si>
  <si>
    <t>Thu phí, lệ phí</t>
  </si>
  <si>
    <t>Thu tiền sử dụng đất</t>
  </si>
  <si>
    <t>Tiền thuê mặt đất, mặt nước</t>
  </si>
  <si>
    <t>Thu hoa lợi công sản, quỹ đất công ích... tại xã</t>
  </si>
  <si>
    <t>Bổ sung cân đối</t>
  </si>
  <si>
    <t>a</t>
  </si>
  <si>
    <t>b</t>
  </si>
  <si>
    <t>Bổ sung có mục tiêu (Nguồn XSKT)</t>
  </si>
  <si>
    <t>THU BỔ SUNG TỪ NGÂN SÁCH TỈNH</t>
  </si>
  <si>
    <t>THU TỪ TIỀN SỬ DỤNG ĐẤT (60%)</t>
  </si>
  <si>
    <t>Tỉnh giao</t>
  </si>
  <si>
    <t>T/đó: Thu phí môn bài</t>
  </si>
  <si>
    <t xml:space="preserve">Đơn vị </t>
  </si>
  <si>
    <t xml:space="preserve">Tổng kinh phí hoạt động thường xuyên   </t>
  </si>
  <si>
    <t>Tổng kinh phí chi lương và hoạt động</t>
  </si>
  <si>
    <t xml:space="preserve"> Tiết kiệm 10%  hoạt động  chi thường xuyên     
</t>
  </si>
  <si>
    <t>Tổng Dự toán sau khi trừ tiết kiệm</t>
  </si>
  <si>
    <t xml:space="preserve">Tổng dự toán (sau khi khấu trừ nguồn thu - tiết kiệm) </t>
  </si>
  <si>
    <t>Trong đó:</t>
  </si>
  <si>
    <t xml:space="preserve"> Nguồn thu Học phí đơn vị được sử dụng (60%) </t>
  </si>
  <si>
    <t>7=5-6</t>
  </si>
  <si>
    <t>TỔNG CỘNG</t>
  </si>
  <si>
    <t>MN Bình Minh</t>
  </si>
  <si>
    <t>MN An Bình</t>
  </si>
  <si>
    <t>MN Bảo Quang</t>
  </si>
  <si>
    <t>MN Phú Bình</t>
  </si>
  <si>
    <t>MG Thanh An</t>
  </si>
  <si>
    <t>MN Xuân Thanh</t>
  </si>
  <si>
    <t>MN Tuổi Thơ</t>
  </si>
  <si>
    <t>MN Xuân Tân</t>
  </si>
  <si>
    <t>MN Ánh Dương</t>
  </si>
  <si>
    <t>MN Hoa Hồng</t>
  </si>
  <si>
    <t>MN Sơn Ca</t>
  </si>
  <si>
    <t>MN 19/5</t>
  </si>
  <si>
    <t>MN Sen Hồng</t>
  </si>
  <si>
    <t xml:space="preserve">MN An Lộc </t>
  </si>
  <si>
    <t>MN Hoa Sen</t>
  </si>
  <si>
    <t>MN Hàng Gòn</t>
  </si>
  <si>
    <t>MN Vành Khuyên</t>
  </si>
  <si>
    <t>KHỐI TIỂU HỌC</t>
  </si>
  <si>
    <t>TH Bàu Sen</t>
  </si>
  <si>
    <t>TH Bảo Vinh</t>
  </si>
  <si>
    <t>TH Hoà Bình</t>
  </si>
  <si>
    <t>TH Kim Đồng</t>
  </si>
  <si>
    <t>TH Lê Văn Tám</t>
  </si>
  <si>
    <t>TH Long Khánh</t>
  </si>
  <si>
    <t>TH Phú Bình</t>
  </si>
  <si>
    <t>TH Trần Phú</t>
  </si>
  <si>
    <t>TH Trưng Vương</t>
  </si>
  <si>
    <t>TH Lê Lợi</t>
  </si>
  <si>
    <t>TH Nguyễn Hữu Cảnh</t>
  </si>
  <si>
    <t>TH Xuân Lập</t>
  </si>
  <si>
    <t>TH Hùng Vương</t>
  </si>
  <si>
    <t>TH Xuân Trung</t>
  </si>
  <si>
    <t>TH Lý Tự Trọng</t>
  </si>
  <si>
    <t>TH Nguyễn Huệ</t>
  </si>
  <si>
    <t>TH Nguyễn Du</t>
  </si>
  <si>
    <t>TH Đinh Bộ Lĩnh</t>
  </si>
  <si>
    <t>C</t>
  </si>
  <si>
    <t>KHỐI THCS</t>
  </si>
  <si>
    <t>THCS Bảo Quang</t>
  </si>
  <si>
    <t>THCS Hàng Gòn</t>
  </si>
  <si>
    <t>THCS Hồ Thị Hương</t>
  </si>
  <si>
    <t>THCS Lê Quý Đôn</t>
  </si>
  <si>
    <t>THCS Ngô Quyền</t>
  </si>
  <si>
    <t>THCS Chu Văn An</t>
  </si>
  <si>
    <t>THCS Lê A</t>
  </si>
  <si>
    <t>THCS Xuân Lập</t>
  </si>
  <si>
    <t>THCS Nguyễn Trãi</t>
  </si>
  <si>
    <t>THCS Xuân Tân</t>
  </si>
  <si>
    <t xml:space="preserve"> Phụ lục số 3</t>
  </si>
  <si>
    <t>DIỄN GIẢI</t>
  </si>
  <si>
    <t>Dự toán 
chi sau khi trừ tiết kiệm</t>
  </si>
  <si>
    <t>Chi đầu tư phát triển</t>
  </si>
  <si>
    <t>Chi thường xuyên</t>
  </si>
  <si>
    <t>c</t>
  </si>
  <si>
    <t>d</t>
  </si>
  <si>
    <t xml:space="preserve">Kinh phí khoán theo biên chế </t>
  </si>
  <si>
    <t>Kinh phí không khoán</t>
  </si>
  <si>
    <t>Kinh phí phụ cấp và hoat động Hội đồng nhân dân</t>
  </si>
  <si>
    <t>Kinh phí đặc thù tôn giáo</t>
  </si>
  <si>
    <t>Kinh phí hoạt động Kinh tế tập thể</t>
  </si>
  <si>
    <t>Kinh phí đặc thù dân tộc, hỗ trợ Lễ Tết cho đồng bào dân tộc và ngày hội văn hóa - thể thao các dân tộc thiểu số</t>
  </si>
  <si>
    <t>- Chi đảm bảo xã hội</t>
  </si>
  <si>
    <t xml:space="preserve">- Chi đảm bảo Quốc phòng </t>
  </si>
  <si>
    <t>Chi khác</t>
  </si>
  <si>
    <t>CHI ĐẦU TƯ BẰNG NGUỒN KHÁC</t>
  </si>
  <si>
    <t xml:space="preserve">Chi sự nghiệp kinh tế </t>
  </si>
  <si>
    <t>Chi Quốc phòng</t>
  </si>
  <si>
    <t>Chi An ninh</t>
  </si>
  <si>
    <t xml:space="preserve">Chi khác ngân sách </t>
  </si>
  <si>
    <t>Phụ lục số 2</t>
  </si>
  <si>
    <t>Nội dung</t>
  </si>
  <si>
    <t>Dự toán chi tỉnh giao</t>
  </si>
  <si>
    <t>Chi sự nghiệp giáo dục - đào tạo</t>
  </si>
  <si>
    <t>Chi sự nghiệp y tế (Bảo hiểm y tế cho học sinh)</t>
  </si>
  <si>
    <t>Chi Quản lý hành chính</t>
  </si>
  <si>
    <t>Chi ngân sách xã, phường</t>
  </si>
  <si>
    <t>Tiết kiệm 10% chi thường xuyên</t>
  </si>
  <si>
    <t>V</t>
  </si>
  <si>
    <t>Dự phòng</t>
  </si>
  <si>
    <t>Chi XDCB từ nguồn xổ số kiến thiết</t>
  </si>
  <si>
    <t>ỦY BAN NHÂN DÂN</t>
  </si>
  <si>
    <t>THỊ XÃ LONG KHÁNH</t>
  </si>
  <si>
    <t xml:space="preserve"> </t>
  </si>
  <si>
    <t>ĐVT: triệu đồng</t>
  </si>
  <si>
    <t>Tên đơn vị</t>
  </si>
  <si>
    <t>Biên chế theo kế hoạch đầu năm (người)</t>
  </si>
  <si>
    <t xml:space="preserve"> Chi hoạt động thường xuyên</t>
  </si>
  <si>
    <t>Thực hiện tiết kiệm 10% chi thường xuyên</t>
  </si>
  <si>
    <t>Ghi chú</t>
  </si>
  <si>
    <t>Trong đó</t>
  </si>
  <si>
    <t>Phòng Tài chính - Kế hoạch</t>
  </si>
  <si>
    <t>Phòng Dân tộc</t>
  </si>
  <si>
    <t>Phòng Giáo dục và Đào tạo</t>
  </si>
  <si>
    <t>Phòng Quản lý đô thị</t>
  </si>
  <si>
    <t>Phòng Lao động - TB và XH</t>
  </si>
  <si>
    <t>Phòng Kinh tế</t>
  </si>
  <si>
    <t>Phòng Nội vụ</t>
  </si>
  <si>
    <t>Văn phòng HĐND và UBND</t>
  </si>
  <si>
    <t>Phòng Y tế</t>
  </si>
  <si>
    <t>Cơ quan Đảng</t>
  </si>
  <si>
    <t>TT Bồi dưỡng chính trị</t>
  </si>
  <si>
    <t>Đoàn thể, tổ chức chính trị</t>
  </si>
  <si>
    <t>UB Mặt trận tổ quốc</t>
  </si>
  <si>
    <t>Hội Phụ nữ</t>
  </si>
  <si>
    <t>Hội Nông dân</t>
  </si>
  <si>
    <t>Hội Cựu chiến binh</t>
  </si>
  <si>
    <t xml:space="preserve"> Các tổ chức hội đặc thù </t>
  </si>
  <si>
    <t>Hội nạn nhân chất độc da cam</t>
  </si>
  <si>
    <t>Hội người cao tuổi</t>
  </si>
  <si>
    <t>Hội người mù</t>
  </si>
  <si>
    <t>Hội chiến sỹ cách mạng bị địch bắt tù đày</t>
  </si>
  <si>
    <t>Hội Khuyến Học</t>
  </si>
  <si>
    <t>Hội thanh niên xung phong</t>
  </si>
  <si>
    <t xml:space="preserve">Hội Chữ thập đỏ      </t>
  </si>
  <si>
    <t>Quản lý nhà nước</t>
  </si>
  <si>
    <t>Văn phòng điều phối NTM</t>
  </si>
  <si>
    <t>Phòng Văn hoá - Thông Tin</t>
  </si>
  <si>
    <t>VI</t>
  </si>
  <si>
    <t>Sự nghiệp thủy lợi</t>
  </si>
  <si>
    <t>CỘNG HÒA XÃ HỘI CHỦ NGHĨA VIỆT NAM</t>
  </si>
  <si>
    <t>Phụ lục số 5</t>
  </si>
  <si>
    <t>Đảng bộ</t>
  </si>
  <si>
    <t>Số lượng đảng viên</t>
  </si>
  <si>
    <t>Số lượngCấp ủy viên</t>
  </si>
  <si>
    <t>Dự toán thu nội bộ</t>
  </si>
  <si>
    <t>Dự toán kinh phí được cấp chênh lệch</t>
  </si>
  <si>
    <t>10% tiết kiệm</t>
  </si>
  <si>
    <t>Dự toán giao đảng bộ cơ sở hoạt động</t>
  </si>
  <si>
    <t>Tổng cộng</t>
  </si>
  <si>
    <t xml:space="preserve">Đảng phí trích nộp của các CB </t>
  </si>
  <si>
    <t>Đảng phí trích nộp cấp trên 30%</t>
  </si>
  <si>
    <t>Thu khác</t>
  </si>
  <si>
    <t>Tổng chi</t>
  </si>
  <si>
    <t>Báo, tạp chí của Đảng của Cb trực thuộc</t>
  </si>
  <si>
    <t>Báo, tạp chí của Đảng bộ Khối</t>
  </si>
  <si>
    <t>Chi khác (tính theo số lượng đảng viên)</t>
  </si>
  <si>
    <t>Phụ cấp cấp ủy viên</t>
  </si>
  <si>
    <t xml:space="preserve">Chi hỗ trợ khác </t>
  </si>
  <si>
    <t>1</t>
  </si>
  <si>
    <t>2</t>
  </si>
  <si>
    <t>3</t>
  </si>
  <si>
    <t>4</t>
  </si>
  <si>
    <t>5</t>
  </si>
  <si>
    <t>6=7-8</t>
  </si>
  <si>
    <t>7</t>
  </si>
  <si>
    <t>8=7*30%</t>
  </si>
  <si>
    <t>9=10+…15</t>
  </si>
  <si>
    <t>16=9-6</t>
  </si>
  <si>
    <t>Tổng Cộng</t>
  </si>
  <si>
    <t>Kinh phí thường xuyên</t>
  </si>
  <si>
    <t>Tổng dự toán sau khi trừ tiết kiệm</t>
  </si>
  <si>
    <t>Kinh phí Đảng bộ khối</t>
  </si>
  <si>
    <t>6=3*10%</t>
  </si>
  <si>
    <t>NỘI DUNG</t>
  </si>
  <si>
    <t>Phụ lục số 09</t>
  </si>
  <si>
    <t>Phụ lục số 10</t>
  </si>
  <si>
    <t>Phụ lục số 11</t>
  </si>
  <si>
    <t>Phụ lục số 12</t>
  </si>
  <si>
    <t xml:space="preserve">CHI KHÁC NGÂN SÁCH </t>
  </si>
  <si>
    <t xml:space="preserve"> + Phòng Kinh Tế</t>
  </si>
  <si>
    <t xml:space="preserve"> +  Phòng Giáo dục - Đào tạo</t>
  </si>
  <si>
    <t>KHỐI GIÁO DỤC</t>
  </si>
  <si>
    <t>SN DẠY NGHỀ</t>
  </si>
  <si>
    <t>SN ĐÀO TẠO</t>
  </si>
  <si>
    <t>Đào tạo nghề nông thôn</t>
  </si>
  <si>
    <t>Phòng Kinh Tế</t>
  </si>
  <si>
    <t>Hỗ trợ chi phí học tập theo Nghị định 86/CP</t>
  </si>
  <si>
    <t>Phòng Giáo dục - Đào tạo</t>
  </si>
  <si>
    <t>SN GIÁO DỤC</t>
  </si>
  <si>
    <t>kinh phí đặc thù và chi khác</t>
  </si>
  <si>
    <t>Nguồn thu dịch vụ</t>
  </si>
  <si>
    <t xml:space="preserve">Đơn vị nhận dự toán kinh phí </t>
  </si>
  <si>
    <t>17=(9-14)*10%</t>
  </si>
  <si>
    <t>18=(9-17)-6</t>
  </si>
  <si>
    <t>Đảng bộ cơ sở Khối Vận (UBMTTQVN)</t>
  </si>
  <si>
    <t>Đảng bộ khối văn hóa xã hội ( Phòng Nội vụ)</t>
  </si>
  <si>
    <t>Thuế sử dụng đất phi nông nghiệp - Thuế nhà đất</t>
  </si>
  <si>
    <t>CHI CÂN ĐỐI NGÂN SÁCH (I+II+III)</t>
  </si>
  <si>
    <t xml:space="preserve">      Trong đó chi đầu tư từng lĩnh vực:</t>
  </si>
  <si>
    <t>Phụ lục số 4a</t>
  </si>
  <si>
    <t>Dự toán chi hoạt động (Theo QĐ 99 ngày 30/5/2012)</t>
  </si>
  <si>
    <t xml:space="preserve"> +Phụ cấp trách nhiệm cấp ủy</t>
  </si>
  <si>
    <t xml:space="preserve"> + Phụ cấp BP một cửa</t>
  </si>
  <si>
    <t xml:space="preserve"> + Phụ cấp ĐB. HĐND</t>
  </si>
  <si>
    <t>Phòng Tư  pháp</t>
  </si>
  <si>
    <t xml:space="preserve"> - CB-CC-BC </t>
  </si>
  <si>
    <t xml:space="preserve"> - Hợp đồng 68</t>
  </si>
  <si>
    <t>+ Đặc thù HĐND+UBND</t>
  </si>
  <si>
    <t>Đảng bộ cơ sở khối Đảng    ( VP. Thành ủy)</t>
  </si>
  <si>
    <t>Đảng bộ khối Kinh Tế (UBND thành phố)</t>
  </si>
  <si>
    <t>Bổ sung từ nguồn cải cách tiền lương của tỉnh</t>
  </si>
  <si>
    <t>Thành phố</t>
  </si>
  <si>
    <t>xã phường</t>
  </si>
  <si>
    <t xml:space="preserve">NỘI DUNG </t>
  </si>
  <si>
    <t>MỨC CŨ</t>
  </si>
  <si>
    <t>Theo NQ162/2019/NQ-HĐND ngày 12/7/2019 của HĐND tỉnh</t>
  </si>
  <si>
    <t>Dự toán lương, phụ cấp</t>
  </si>
  <si>
    <t>LƯƠNG THEO NGẠCH BẬC, CHỨC VỤ</t>
  </si>
  <si>
    <t>TỔNG CÁC KHOẢN PHỤ CẤP (1)</t>
  </si>
  <si>
    <t>CÁC KHOẢN ĐÓNG GÓP BHXH, BHYT, KPCĐ</t>
  </si>
  <si>
    <t>PHỤ CẤP CHỨC VỤ</t>
  </si>
  <si>
    <t>PHỤ CẤP TRÁCH NHIỆM</t>
  </si>
  <si>
    <t>PHỤ CẤP THÂM NIÊN VƯỢT KHUNG</t>
  </si>
  <si>
    <t>PHỤ CẤP ƯU ĐÃI NGÀNH</t>
  </si>
  <si>
    <t>PHỤ CẤP THU HÚT</t>
  </si>
  <si>
    <t>PHỤ CẤP CÔNG TÁC LÂU NĂM</t>
  </si>
  <si>
    <t>PHỤ CẤP CÔNG VỤ</t>
  </si>
  <si>
    <t>PHỤ CẤP CÔNG TÁC ĐẢNG</t>
  </si>
  <si>
    <t>PHỤ CẤP THÂM NIÊN NGHỀ</t>
  </si>
  <si>
    <t>PHỤ CẤP KHÁC</t>
  </si>
  <si>
    <t>5=(6+7+19)*1,49 (1tháng)</t>
  </si>
  <si>
    <t>6 = Hệ số lương</t>
  </si>
  <si>
    <t>7=(8+…+18)</t>
  </si>
  <si>
    <t>Công chức, Viên chức</t>
  </si>
  <si>
    <t>HĐLĐ (trong Biên chế)</t>
  </si>
  <si>
    <t>Viên chức</t>
  </si>
  <si>
    <t>3)</t>
  </si>
  <si>
    <t>Sự nghiệp Nông nghiệp</t>
  </si>
  <si>
    <t xml:space="preserve">    - CB-CC-BC </t>
  </si>
  <si>
    <t xml:space="preserve">    - Hợp đồng (nhân viên giữ đập)</t>
  </si>
  <si>
    <t>Sự nghiệp công thương</t>
  </si>
  <si>
    <t>Sự nghiệp Kiến thiết thị chính</t>
  </si>
  <si>
    <t>Sự nghiệp địa chính</t>
  </si>
  <si>
    <t>Sự nghiệp khoa học và công nghệ</t>
  </si>
  <si>
    <t>Sự nghiệp KINH TẾ KHÁC</t>
  </si>
  <si>
    <t>SN ĐẢM BẢO XÃ HỘI</t>
  </si>
  <si>
    <t xml:space="preserve"> - Các đối tượng chính sách ĐBXH</t>
  </si>
  <si>
    <t>CHI AN NINH</t>
  </si>
  <si>
    <t>VII</t>
  </si>
  <si>
    <t>CHI QUỐC PHÒNG</t>
  </si>
  <si>
    <t>Công tác quốc phòng khác trên địa bàn</t>
  </si>
  <si>
    <t>VIII</t>
  </si>
  <si>
    <t>CHI KHÁC NS</t>
  </si>
  <si>
    <t xml:space="preserve"> Kinh phí hoạt động thường xuyên</t>
  </si>
  <si>
    <t>Các hội thi và trang bị sách</t>
  </si>
  <si>
    <t>CỘNG</t>
  </si>
  <si>
    <t>THÀNH PHỐ LONG KHÁNH</t>
  </si>
  <si>
    <t>Chi thăm hỏi, hỗ trợ nạn nhân tai nạn ATGT</t>
  </si>
  <si>
    <t>Chi khác (vật tư văn phòng, công cụ hỗ trợ…..)</t>
  </si>
  <si>
    <t>Kinh phí chi trả Phụ cấp ưu đãi Giáo viên dạy trẻ Khuyết tật</t>
  </si>
  <si>
    <t>ĐMHĐ 1 biên chế</t>
  </si>
  <si>
    <t>9=5+6+7+8</t>
  </si>
  <si>
    <t>11=9-10</t>
  </si>
  <si>
    <t>12=13+14</t>
  </si>
  <si>
    <t>Trung tâm GD NN - GD thường xuyên</t>
  </si>
  <si>
    <t>KHỐI ĐÀO TẠO</t>
  </si>
  <si>
    <t>+ Lệ phí tuyển sinh</t>
  </si>
  <si>
    <t>Thu bổ sung ngân sách thành phố trong Cân đối</t>
  </si>
  <si>
    <t xml:space="preserve">CHI CÂN ĐỐI NGÂN SÁCH CẤP XÃ </t>
  </si>
  <si>
    <t xml:space="preserve"> Dự phòng ngân sách thành phố</t>
  </si>
  <si>
    <t xml:space="preserve"> Dự phòng ngân sách cấp xã</t>
  </si>
  <si>
    <t>Dự toán tỉnh Giao</t>
  </si>
  <si>
    <t>SỰ NGHIỆP MÔI TRƯỜNG</t>
  </si>
  <si>
    <t>f</t>
  </si>
  <si>
    <t>UBND thành phố</t>
  </si>
  <si>
    <t>Công an thành phố</t>
  </si>
  <si>
    <t>Ngân hàng NN &amp; PTNT thành phố</t>
  </si>
  <si>
    <t>Chi cho các hoạt động khác thành phố</t>
  </si>
  <si>
    <t>10=5+6+7+8+9</t>
  </si>
  <si>
    <t>Chi ATGT thành phố</t>
  </si>
  <si>
    <t>Chi khác NSTP</t>
  </si>
  <si>
    <t>I.4</t>
  </si>
  <si>
    <t>Kinh phí hoạt động đặc thù và kinh phí khác</t>
  </si>
  <si>
    <t>Thực hiện tiết kiệm (đặc thù và và kinh phí khác)</t>
  </si>
  <si>
    <t>Dự toán hoạt động đặc thù và  khác  sau khi trừ tiết kiệm</t>
  </si>
  <si>
    <t>ĐVT: Triệu Đồng</t>
  </si>
  <si>
    <t xml:space="preserve"> Chi Đại hội Đảng bộ</t>
  </si>
  <si>
    <t>12=7+12</t>
  </si>
  <si>
    <t>12=(8+9+10-11)</t>
  </si>
  <si>
    <t xml:space="preserve">Nguồn thu cân đối được sử dụng </t>
  </si>
  <si>
    <t>Tổng dự toán giao chi (từ nguồn thu học phí)</t>
  </si>
  <si>
    <t>NGUỒN THU SN KHÁC</t>
  </si>
  <si>
    <t>Nguồn thu quản lý NS</t>
  </si>
  <si>
    <t>Tổng Dự toán giao sau khi cân đối nguồn thu được sử dụng</t>
  </si>
  <si>
    <t>Tổng dự toán giao cân đối sau khi trừ tiết kiệm</t>
  </si>
  <si>
    <t>THU TỪ NGUỒN NS ĐỊA PHƯƠNG</t>
  </si>
  <si>
    <t xml:space="preserve"> Nguồn thu Học phí đơn vị được sử dụng </t>
  </si>
  <si>
    <t>Chi khác (SNGD)</t>
  </si>
  <si>
    <t>thành phố</t>
  </si>
  <si>
    <t>NGUỒN TĂNG THU (GIAO CAO HƠN DỰ TOÁN TỈNH GIAO)</t>
  </si>
  <si>
    <t>CHI ĐẦU TƯ PHÁT TRIỂN TỪ NGUỒN VỐN KHÁC (I+II)</t>
  </si>
  <si>
    <t>TỔNG THU NGÂN SÁCH ĐỊA PHƯƠNG (I+II+III)</t>
  </si>
  <si>
    <t>Thu khác thành phố</t>
  </si>
  <si>
    <t>Chi XDCB từ nguồn tiền sử dụng đất thành phố (60%)</t>
  </si>
  <si>
    <t>Thư viện thành phố (thẻ bạn đọc)</t>
  </si>
  <si>
    <t>Thanh tra thành phố</t>
  </si>
  <si>
    <t>Kinh phí hoạt động Chi Bộ Thanh tra thành phố (do không có Đảng bộ khối)</t>
  </si>
  <si>
    <t>Thu bổ sung cân đối từ NS thành phố</t>
  </si>
  <si>
    <t>Kinh phí phụ cấp UBND thành phố</t>
  </si>
  <si>
    <t>Chi công tác khen thưởng thành phố</t>
  </si>
  <si>
    <t>Thành đoàn</t>
  </si>
  <si>
    <t>CHI  CÂN ĐỐI NS  (I+II+III)</t>
  </si>
  <si>
    <t>- Thuế TNDN</t>
  </si>
  <si>
    <t>- Thuế GTGT</t>
  </si>
  <si>
    <t>- Thuế tài nguyên</t>
  </si>
  <si>
    <t>-Thuế TTĐB</t>
  </si>
  <si>
    <t xml:space="preserve">                      Các khoản thu cân đối</t>
  </si>
  <si>
    <t>- Các khoản thu hưởng 100%</t>
  </si>
  <si>
    <t>- Các khoản thu phân chia theo tỷ lệ</t>
  </si>
  <si>
    <t>- Chi XHH giao thông - điện (cấp xã)</t>
  </si>
  <si>
    <t>- Cải cách tiền lương ngân sách thành phố</t>
  </si>
  <si>
    <t>Chi đầu tư XDCB tập trung</t>
  </si>
  <si>
    <t>- Chi XDCB nguồn tập trung</t>
  </si>
  <si>
    <t xml:space="preserve">- Sự nghiệp thủy lợi: </t>
  </si>
  <si>
    <t>- Sự nghiệp công thương</t>
  </si>
  <si>
    <t>- Sự nghiệp kiến thiết thị chính:</t>
  </si>
  <si>
    <t>- Sự nghiệp địa chính:</t>
  </si>
  <si>
    <t>- Sự nghiệp ứng dụng KH-CN</t>
  </si>
  <si>
    <t>- Chi khác SNKT</t>
  </si>
  <si>
    <t>-  Phòng Tài nguyên và Môi trường</t>
  </si>
  <si>
    <t>SỰ NGHIỆP VĂN HÓA, THÔNG TIN VÀ THỂ DỤC THỂ THAO:</t>
  </si>
  <si>
    <t xml:space="preserve">- Chi lương </t>
  </si>
  <si>
    <t>Tổng Dự toán giao sau khi trừ nguồn thu được sử dụng và tiết kiệm</t>
  </si>
  <si>
    <t xml:space="preserve"> Nguồn thu Học phí đơn vị được sử dụng CCTL (40%) </t>
  </si>
  <si>
    <t>Tổng dự toán giao chi (từ nguồn thu  dịch vụ, xe đạp đạp)</t>
  </si>
  <si>
    <t xml:space="preserve">      ỦY BAN NHÂN DÂN                                     </t>
  </si>
  <si>
    <t>Phòng Tư Pháp</t>
  </si>
  <si>
    <t>Trung tâm Văn hóa, Thông tin và Thể thao</t>
  </si>
  <si>
    <t>HĐLĐ 161</t>
  </si>
  <si>
    <t xml:space="preserve">Tổng dự toán giao chi </t>
  </si>
  <si>
    <t>11=7*10%</t>
  </si>
  <si>
    <t>Thực hiện tiết kiệm 10% chi hoạt động sự nghiệp</t>
  </si>
  <si>
    <t>Kinh phí hoạt động chung của Thành ủy và các Ban Đảng; Kinh phí phụ cấp Đảng Ủy viên, Chương trình 7</t>
  </si>
  <si>
    <t>Lương biên chế</t>
  </si>
  <si>
    <t>15=11-13</t>
  </si>
  <si>
    <t>KHỐI MẦM NON</t>
  </si>
  <si>
    <t>MN 19-5</t>
  </si>
  <si>
    <t>MN An Lộc</t>
  </si>
  <si>
    <t>MN Vành khuyên</t>
  </si>
  <si>
    <t>TH Hòa Bình</t>
  </si>
  <si>
    <t>Th Lê Văn Tám</t>
  </si>
  <si>
    <t>Hội Cựu chiến binh khối vận</t>
  </si>
  <si>
    <t>THU CÂN ĐỐI NGÂN SÁCH ( I.1 + I.2)</t>
  </si>
  <si>
    <t>Thu nội địa (không tính tiền sử dụng đất)</t>
  </si>
  <si>
    <t>THU CÂN ĐỐI NS (tính bổ sung) (I.1+I.2+I.3+I.4)</t>
  </si>
  <si>
    <t>Chi sự nghiệp văn hóa</t>
  </si>
  <si>
    <t>Chi đầu tư khác</t>
  </si>
  <si>
    <t>Cho hỗ trợ các công trình XHH, SC các phường, xã và đơn vị</t>
  </si>
  <si>
    <t>NGUỒN TĂNG THU (GIAO CAO HƠN DỰ TOÁN TỈNH GIAO, CHƯA PHÂN BỔ CHI)</t>
  </si>
  <si>
    <t xml:space="preserve"> + SN NN (Phòng Kinh tế)</t>
  </si>
  <si>
    <t>-  Hoàn trả NS tỉnh</t>
  </si>
  <si>
    <t>Dự toán của các trường thuộc sự nghiệp giáo dục đảm bảo cho con người và chi hoạt động dạy học.</t>
  </si>
  <si>
    <t>Chi sự nghiệp giáo dục (P. Giáo dục)</t>
  </si>
  <si>
    <t>+ Khối Kinh tế (VP.UBND-HĐND TP)</t>
  </si>
  <si>
    <t>+ Khối Văn hoá - Xã hội (P. Nội Vụ)</t>
  </si>
  <si>
    <t>+ Khối Đảng (VP. Thành ủy)</t>
  </si>
  <si>
    <t>+ Khối Dân Vận (UB.MTTQVN)</t>
  </si>
  <si>
    <t>Tổng thu Ngân sách NSNN</t>
  </si>
  <si>
    <t>Tổng Thu cân đối ngân sách</t>
  </si>
  <si>
    <t>TỔNG CỘNG (I+II)</t>
  </si>
  <si>
    <t>CÂN ĐỐI NGÂN SÁCH</t>
  </si>
  <si>
    <t>CHI XHH TỪ NGUỒN HUY ĐỘNG ĐÓNG GÓP</t>
  </si>
  <si>
    <t xml:space="preserve"> Chi XHHGT- Điện</t>
  </si>
  <si>
    <t>- Theo NQ 01/2020/NQ-HĐND mức khoán quỹ phụ cấp và mức hỗ trợ từ ngân sách địa phương như sau:</t>
  </si>
  <si>
    <t>Chi XHH từ nguồn huy động, đóng góp</t>
  </si>
  <si>
    <t>SN GIÁO DỤC- CÁC TRƯỜNG</t>
  </si>
  <si>
    <t>SN GIÁO DỤC - HỢP ĐỒNG 161</t>
  </si>
  <si>
    <t>Hợp đồng 161</t>
  </si>
  <si>
    <t>- Chi các hội thi và trang bị sách (đặc thù)</t>
  </si>
  <si>
    <t>- Hoạt động sự nghiệp và các hội thi (đặc thù)</t>
  </si>
  <si>
    <t xml:space="preserve"> + SN NN (Trung Tâm.DVNN)</t>
  </si>
  <si>
    <t xml:space="preserve"> + Lương CB VC, nhân viên giữ đập; hoạt động</t>
  </si>
  <si>
    <t xml:space="preserve"> + SN Thủy lợi</t>
  </si>
  <si>
    <t>Trung Tâm DVNNo</t>
  </si>
  <si>
    <t xml:space="preserve">  - Phòng Kinh tế</t>
  </si>
  <si>
    <t xml:space="preserve">  - Phòng Quản lý đô thị</t>
  </si>
  <si>
    <t xml:space="preserve">  - Phòng Tài nguyên và Môi trường</t>
  </si>
  <si>
    <t>NGÂN SÁCH THÀNH PHỐ</t>
  </si>
  <si>
    <t>NGÂN SÁCH PHƯỜNG, XÃ</t>
  </si>
  <si>
    <t xml:space="preserve">Nguồn thu từ sử dụng đất </t>
  </si>
  <si>
    <t xml:space="preserve">NGUỒN GIAO DT TĂNG THU (GIAO CAO HƠN DỰ TOÁN TỈNH GIAO) </t>
  </si>
  <si>
    <t>TĂNG DIEU TIET</t>
  </si>
  <si>
    <t>Phòng Văn Hóa</t>
  </si>
  <si>
    <t>Lệ phí thẩm định báo cáo kinh tế kỹ thuật</t>
  </si>
  <si>
    <t>Chi phí Ban quản lý dự án</t>
  </si>
  <si>
    <t>Phòng Tài nguyên và Môi trường</t>
  </si>
  <si>
    <t>Phí bảo vệ môi trường nước thải</t>
  </si>
  <si>
    <t xml:space="preserve"> + Nguồn phí giữ xe đạp</t>
  </si>
  <si>
    <t xml:space="preserve"> - các cơ quan, đơn vị </t>
  </si>
  <si>
    <t xml:space="preserve"> + UBMTTQVN </t>
  </si>
  <si>
    <t xml:space="preserve"> + Phòng Giáo dục</t>
  </si>
  <si>
    <t xml:space="preserve"> + Thành đoàn</t>
  </si>
  <si>
    <t xml:space="preserve"> + Ngân hàng NN &amp; PTNT thành phố</t>
  </si>
  <si>
    <t>Tiết kiệm 10%</t>
  </si>
  <si>
    <t>Chi thường xuyên (đã trừ tiết kiệm), Trong đó:</t>
  </si>
  <si>
    <t>Thực hiện theo Nghị quyết 01/2020 ngày 10/7/2020</t>
  </si>
  <si>
    <t>Tiết kiệm 10% chi TX gồm:</t>
  </si>
  <si>
    <t>-10% hoạt động thường xuyên của cán bộ công chức, chuyên trách.</t>
  </si>
  <si>
    <t>-10% hoạt động các đoàn thể xã, ấp</t>
  </si>
  <si>
    <t xml:space="preserve"> - Phòng Văn hóa và Thông tin</t>
  </si>
  <si>
    <t xml:space="preserve"> + Chi lương </t>
  </si>
  <si>
    <t xml:space="preserve"> + Chi hoạt động </t>
  </si>
  <si>
    <t>Các hoạt động đặc thù SNVH</t>
  </si>
  <si>
    <t>- Chi đặc thù hoạt động SN văn hóa</t>
  </si>
  <si>
    <t>TỔNG THU NGÂN SÁCH NHÀ NƯỚC TRÊN ĐỊA BÀN (I+II+III+IV)</t>
  </si>
  <si>
    <t>THU TỪ NGUỒN THU CÁC KHOẢN ĐÓNG GÓP, DỊCH VỤ</t>
  </si>
  <si>
    <t>HĐND thành phố giao</t>
  </si>
  <si>
    <t>Dự toán chi HĐND TP giao</t>
  </si>
  <si>
    <t xml:space="preserve">       ỦY BAN NHÂN DÂN                                     </t>
  </si>
  <si>
    <t>Phương án  thu trong năm</t>
  </si>
  <si>
    <r>
      <t xml:space="preserve">SỰ NGHIỆP GIÁO DỤC - ĐÀO TẠO
 </t>
    </r>
    <r>
      <rPr>
        <b/>
        <i/>
        <sz val="13"/>
        <rFont val="Times New Roman"/>
        <family val="1"/>
      </rPr>
      <t>(đã bao gồm số thu học phí )</t>
    </r>
  </si>
  <si>
    <t xml:space="preserve">Dự toán HĐND thành phố phân bổ chi </t>
  </si>
  <si>
    <t>Tiết kiệm chi thường xuyên giữ lại NS thành phố</t>
  </si>
  <si>
    <t>- Thu XHH giao thông - điện (cấp xã)</t>
  </si>
  <si>
    <t>Chi sự nghiệp khác</t>
  </si>
  <si>
    <t>3.4</t>
  </si>
  <si>
    <t>3.5</t>
  </si>
  <si>
    <t>3.6</t>
  </si>
  <si>
    <t>3.7</t>
  </si>
  <si>
    <t>3.8</t>
  </si>
  <si>
    <t>3.9</t>
  </si>
  <si>
    <t>3.10</t>
  </si>
  <si>
    <t>3.11</t>
  </si>
  <si>
    <t>Chi sự nghiệp Môi trường</t>
  </si>
  <si>
    <t>Chi sự nghiệp Giáo dục - đào tạo</t>
  </si>
  <si>
    <t>Chi SN Phát thanh</t>
  </si>
  <si>
    <t>Chi Đảm bảo xã hội</t>
  </si>
  <si>
    <t>3.12</t>
  </si>
  <si>
    <t>2.1</t>
  </si>
  <si>
    <t>2.2</t>
  </si>
  <si>
    <t>2.3</t>
  </si>
  <si>
    <t>SỰ NGHIỆP KHÁC</t>
  </si>
  <si>
    <t>- Sự nghiệp Nông nghiệp</t>
  </si>
  <si>
    <t>3.2.1</t>
  </si>
  <si>
    <t>SỰ NGHIỆP KINH TẾ:</t>
  </si>
  <si>
    <t xml:space="preserve"> - Trung tâm Văn hóa, Thông tin và Thể thao</t>
  </si>
  <si>
    <t>- Kinh phí quét dọn chăm sóc cây xanh; điện chiếu sáng; lễ viếng đền thờ và hoạt động khác (đặc thù)</t>
  </si>
  <si>
    <t>3.2.2</t>
  </si>
  <si>
    <t>3.2.3</t>
  </si>
  <si>
    <t>3.4.1</t>
  </si>
  <si>
    <t>3.4.2</t>
  </si>
  <si>
    <t>3.4.3</t>
  </si>
  <si>
    <t>+ Kinh phí hoạt động Chi Bộ Phòng Tư pháp thành phố (do không có Đảng bộ khối)</t>
  </si>
  <si>
    <t>DỰ TOÁN 2022</t>
  </si>
  <si>
    <t>Biên chế hiện diện tháng 11/2021</t>
  </si>
  <si>
    <t>ĐM: 65tr</t>
  </si>
  <si>
    <t>3=(2x70); (2x65) ; (2 x 25)</t>
  </si>
  <si>
    <t>ĐM: 70tr</t>
  </si>
  <si>
    <t>Kinh phí chi lương, phụ cấp, các khoản đóng góp năm 2022</t>
  </si>
  <si>
    <t>Tổng dự toán chi Lương, hoạt động năm 2022</t>
  </si>
  <si>
    <t>Dự toán chi thường xuyên đã trừ tiết kiệm năm 2022</t>
  </si>
  <si>
    <t>TỔ CHỨC CHÍNH TRỊ XÃ HỘI, CÁC TỔ CHỨC HỘI VÀ CÁC ĐƠN VỊ KHÁC NĂM 2022</t>
  </si>
  <si>
    <t>Kinh phí hoạt động tuyên truyền pháp luật và kiểm tra văn bản pháp luật</t>
  </si>
  <si>
    <t xml:space="preserve"> + Phụ cấp tiếp công dân</t>
  </si>
  <si>
    <t>Kinh phí thăm hỏi mặt trận; chi hoạt động ban vận động " quỹ vì người nghèo"; Chương trình 01; Phụ cấp ủy viên MTTQ (Đối tượng không hưởng lương); Ngày hội đại đoàn kết dân tộc ; Công tác giám sát, phản biện năm 2022</t>
  </si>
  <si>
    <t>Kinh phí tổ chức các hoạt động hè; Kinh phí tổ chức hội trại tòng quân năm 2022; Kinh phí tổ chức “Vui hội trăng rằm” năm 2022; Kinh phí thực hiện đề án về công tác lãnh đạo quản lý thanh niên giai đạon 2022-2024 và hoạt động khác</t>
  </si>
  <si>
    <t>Hội cựu chiến binh</t>
  </si>
  <si>
    <t>Kinh phí Đại hội đại biểu hội cựu chiến binh lần thứ V nhiệm kỳ 2022-2027; Kinh phí giám sát theo QĐ 27; Hội nghị sơ và tổng kết hoạt động liên Chi hội Hữu nghị Việt Nam- Campuchia thành phố năm 2022</t>
  </si>
  <si>
    <t>NHIỆM VỤ THU (không tính tiền SDĐ)</t>
  </si>
  <si>
    <t>ĐM: 25tr</t>
  </si>
  <si>
    <t>Chi Bồi dưỡng tuần tra ATGT ban đêm (6 người x 100.000 đồng/người/ca x 18 ca/tháng x 12 tháng)</t>
  </si>
  <si>
    <t>Chi Bồi dưỡng cho lực lượng Công an CSGT-TT (20 người x 1.500.000 đồng/người/tháng x 12 tháng)</t>
  </si>
  <si>
    <t>Chi in ấn tài liệu phục vụ công tác tuyên truyền luật ATGT và công tác nghiệp vụ khác</t>
  </si>
  <si>
    <t>Phụ cấp kiêm nhiệm các thành viên Ban ATGT 47 TV x 400.000đ/tháng x 12 tháng</t>
  </si>
  <si>
    <t>Lương các thành viên tổ TTATGT (17 TV x 3.000.000đ/tháng x 12 tháng)</t>
  </si>
  <si>
    <t>Phụ cấp trách nhiệm tổ phó tổ TTATGT (200.000đ x 12 tháng)</t>
  </si>
  <si>
    <t>Phụ cấp trách nhiệm tổ trưởng  tổ TTATGT ( 300.000đ x 12 tháng)</t>
  </si>
  <si>
    <t>Trang phục quần áo cho tổ TTATGT 
(17 TV x 900.000/bộ (khoán 2 bộ quần áo + giày + vât dụng khác)</t>
  </si>
  <si>
    <t>Chi phụ cấp hàng tháng cho Chánh Văn phòng và cán bộ tổng hợp (5 người x 1.000.000 đồng/tháng/người x 12 tháng)</t>
  </si>
  <si>
    <t>Kinh phí đảm bảo trật tự an toàn giao thông
6 người x 1.000.000 đồng/tháng/người x 12 tháng</t>
  </si>
  <si>
    <r>
      <t>Trung tâm Văn hóa, Thông tin và Thể thao</t>
    </r>
    <r>
      <rPr>
        <sz val="13"/>
        <rFont val="Times New Roman"/>
        <family val="1"/>
      </rPr>
      <t xml:space="preserve"> (</t>
    </r>
    <r>
      <rPr>
        <i/>
        <sz val="13"/>
        <rFont val="Times New Roman"/>
        <family val="1"/>
      </rPr>
      <t>Trong đó: SN Truyền thanh 15 trđ</t>
    </r>
    <r>
      <rPr>
        <sz val="13"/>
        <rFont val="Times New Roman"/>
        <family val="1"/>
      </rPr>
      <t>)</t>
    </r>
  </si>
  <si>
    <t>SỰ NGHIỆP VĂN HÓA - THỂ THAO</t>
  </si>
  <si>
    <t>Kinh phí quét dọn chăm sóc tại Nghĩa trang liệt sỹ</t>
  </si>
  <si>
    <t>TỔNG CỘNG (A+B)</t>
  </si>
  <si>
    <t>Trung tâm GDNN - GD thường xuyên</t>
  </si>
  <si>
    <t xml:space="preserve">Số tiền thu </t>
  </si>
  <si>
    <t>Lệ phí cấp phép xây dựng</t>
  </si>
  <si>
    <t>Tổng số chi lương, phụ cấp, các khoản đóng góp năm 2022</t>
  </si>
  <si>
    <t>16=15-11</t>
  </si>
  <si>
    <t>Tổng số CBGV
CNV được giao năm học 2020-2021</t>
  </si>
  <si>
    <t>Tổng số CBGV
CNV ( có mặt đến 01/11/2021)</t>
  </si>
  <si>
    <t xml:space="preserve">Tổng chi cho con người năm 2022: Tiền lương +phụ cấp lương+các khoản đóng góp.   </t>
  </si>
  <si>
    <t>10=6*10%</t>
  </si>
  <si>
    <t>KHỐI SN GIÁO DỤC - BIÊN CHẾ</t>
  </si>
  <si>
    <t>Đào tạo, mở các lớp học</t>
  </si>
  <si>
    <t>Trung tâm Chính trị</t>
  </si>
  <si>
    <t>Sự nghiệp Văn hóa (Phòng Văn Hóa và thông tin)</t>
  </si>
  <si>
    <t>Sự nghiệp Văn hóa (Trung tâm Văn Hóa, Thông tin và Thể thao)</t>
  </si>
  <si>
    <r>
      <t>*</t>
    </r>
    <r>
      <rPr>
        <i/>
        <u val="single"/>
        <sz val="11"/>
        <rFont val="Times New Roman"/>
        <family val="1"/>
      </rPr>
      <t xml:space="preserve"> Lương theo hệ số</t>
    </r>
  </si>
  <si>
    <r>
      <t>*</t>
    </r>
    <r>
      <rPr>
        <i/>
        <u val="single"/>
        <sz val="11"/>
        <rFont val="Times New Roman"/>
        <family val="1"/>
      </rPr>
      <t xml:space="preserve"> Lương khoán</t>
    </r>
  </si>
  <si>
    <t>Sự nghiệp Thông tin (Trung tâm Văn Hóa, Thông tin và Thể thao)</t>
  </si>
  <si>
    <t xml:space="preserve">Lương cộng tác viên, chi tập huấn và thực hiện mô hình </t>
  </si>
  <si>
    <t xml:space="preserve"> Trung Tâm Dịch vụ Nông nghiệp</t>
  </si>
  <si>
    <t>ĐM: 45 tr</t>
  </si>
  <si>
    <t>- Công tác duy tu sừa chữa nhỏ, tra dầu mở định kỳ dọn dẹp cỏ rác tại công trình thủy lợi (đập dân sân bay, đập Bàu Đục, dập Suối Chồn…)</t>
  </si>
  <si>
    <t>- Nạo vét mương nội đồng đập Lác Chiếu xã  Bảo quang</t>
  </si>
  <si>
    <t>Sự nghiệp Thủy lợi</t>
  </si>
  <si>
    <t xml:space="preserve">- Giao về Phường xã </t>
  </si>
  <si>
    <t>Phòng Lao động - Thương binh và Xã hội</t>
  </si>
  <si>
    <t>Chi hỗ trợ ấp, khu phố thuộc xã, phường tuyên truyền, phổ biến công tác bảo đảm TTATGT (2.000.000 đồng/năm x 58 khu ấp)</t>
  </si>
  <si>
    <t xml:space="preserve"> - Giao về Phường, xã (116 trđ)</t>
  </si>
  <si>
    <t xml:space="preserve"> - Giao NS phường xã </t>
  </si>
  <si>
    <t>Kinh phí đào tạo, bồi dưỡng và mở các lớp học (Trung tâm Chính Trị)</t>
  </si>
  <si>
    <t xml:space="preserve"> + Phòng Lao động - Thương binh và Xã hội</t>
  </si>
  <si>
    <t>- Hoạt động sự nghiệp</t>
  </si>
  <si>
    <t>- Kinh phí hoạt động tuyên truyền pháp luật và kiểm tra VBPL  (Phòng Tư pháp)</t>
  </si>
  <si>
    <t>- Kinh phí hoạt động trang thông tin điện tử (Phòng Văn hóa và Thông tin)</t>
  </si>
  <si>
    <t>- Kinh phí đặc thù dân tộc, hỗ trợ Lễ Tết cho đồng bào dân tộc và ngày hội văn hóa - thể thao các dân tộc thiểu số (Phòng Dân tộc)</t>
  </si>
  <si>
    <t>- Công tác Chỉ đạo, quản lý, quyết toán kinh phí ATGT (UBND thành phố)</t>
  </si>
  <si>
    <t>- Công tác Chỉ đạo, quản lý, quyết toán kinh phí ATGT (Phòng Tài chính - Kế hoạch)</t>
  </si>
  <si>
    <t xml:space="preserve"> + Trung tâm Văn hóa, Thông tin và Thể thao</t>
  </si>
  <si>
    <t xml:space="preserve"> + Giao NS xã, phường (58 khu ấp) 116 trđ</t>
  </si>
  <si>
    <t xml:space="preserve">Sự nghiệp Văn hóa-Thông tin: </t>
  </si>
  <si>
    <t>Thực hiện theo phân bổ chi theo Nghị quyết số ……./2021/NQ-HĐND ngày…../12/2021</t>
  </si>
  <si>
    <t>- 10% các Sự nghiệp.</t>
  </si>
  <si>
    <t>DT THU 2022</t>
  </si>
  <si>
    <t>Số thu 2022</t>
  </si>
  <si>
    <t>Số chi 2022</t>
  </si>
  <si>
    <t>DỰ TOÁN THU NGÂN SÁCH NHÀ NƯỚC NĂM 2022</t>
  </si>
  <si>
    <r>
      <t>+ Xã loại 1</t>
    </r>
    <r>
      <rPr>
        <sz val="11"/>
        <rFont val="Times New Roman"/>
        <family val="1"/>
      </rPr>
      <t xml:space="preserve"> gồm: Xuân An, Bảo Vinh, Suối Tre, Xuân Lập, Xuân Tân, Bảo Quang, Bình Lộc, Hàng Gòn</t>
    </r>
  </si>
  <si>
    <r>
      <t>+ Xã loại 2</t>
    </r>
    <r>
      <rPr>
        <sz val="11"/>
        <rFont val="Times New Roman"/>
        <family val="1"/>
      </rPr>
      <t xml:space="preserve"> gồm: Xuân Bình, Xuân Hòa, Xuân Thanh, Xuân Trung, Bàu Sen, Bàu Trâm</t>
    </r>
  </si>
  <si>
    <r>
      <t>+ Xã loại 3:</t>
    </r>
    <r>
      <rPr>
        <sz val="11"/>
        <rFont val="Times New Roman"/>
        <family val="1"/>
      </rPr>
      <t xml:space="preserve"> phường Phú Bình</t>
    </r>
  </si>
  <si>
    <t>Kinh phí hoạt động cho Hội thanh niên xung phong</t>
  </si>
  <si>
    <r>
      <t xml:space="preserve">SN Y TẾ </t>
    </r>
    <r>
      <rPr>
        <b/>
        <i/>
        <sz val="11"/>
        <rFont val="Times New Roman"/>
        <family val="1"/>
      </rPr>
      <t>(Thẻ BHYT học sinh)</t>
    </r>
  </si>
  <si>
    <t>Văn phòng UBND &amp; HĐND</t>
  </si>
  <si>
    <r>
      <t xml:space="preserve">CHI SỰ NGHIỆP Y TẾ 
</t>
    </r>
    <r>
      <rPr>
        <b/>
        <i/>
        <sz val="13"/>
        <rFont val="Times New Roman"/>
        <family val="1"/>
      </rPr>
      <t>(Bảo hiểm y tế học sinh)</t>
    </r>
  </si>
  <si>
    <r>
      <t>An ninh:</t>
    </r>
    <r>
      <rPr>
        <i/>
        <sz val="12"/>
        <rFont val="Times New Roman"/>
        <family val="1"/>
      </rPr>
      <t xml:space="preserve"> </t>
    </r>
  </si>
  <si>
    <r>
      <t xml:space="preserve"> DỰ PHÒNG THÀNH PHỐ
</t>
    </r>
    <r>
      <rPr>
        <b/>
        <i/>
        <sz val="13"/>
        <rFont val="Times New Roman"/>
        <family val="1"/>
      </rPr>
      <t xml:space="preserve"> (2%/ tổng chi từng cấp ngân sách)</t>
    </r>
  </si>
  <si>
    <t xml:space="preserve">Chi đào tạo, dạy nghề: </t>
  </si>
  <si>
    <t>Chi khác QLNN 
(154.780 dân x 27.000đ/dân/năm)=4.179 trđ</t>
  </si>
  <si>
    <r>
      <t xml:space="preserve">Chi khác QLNN 
</t>
    </r>
    <r>
      <rPr>
        <sz val="13"/>
        <rFont val="Times New Roman"/>
        <family val="1"/>
      </rPr>
      <t>(154.780 dân x 27.000đ/dân/năm)=4.179 trđ</t>
    </r>
  </si>
  <si>
    <t>- Chi đảm bảo xã hội khác :
(154.780 dân x 12.000đ/dân/năm)=1.857 trđ</t>
  </si>
  <si>
    <t xml:space="preserve"> - Đảm bảo xã hội khác (154.780 dân x12.000đ/dân/năm)=1.857 trđ</t>
  </si>
  <si>
    <t>công tác quốc phòng (154.780 dân x 65.000đ/dân/năm) = 10.061 trđ</t>
  </si>
  <si>
    <t>công tác đảm bảo an ninh
(154.780 dân x 11.000đ/dân/năm)=1.703 trđ</t>
  </si>
  <si>
    <t>- Chi đảm bảo công tác An ninh trên địa bàn  (154.780 dân x 11.000đ/dân/năm)=1.703 trđ</t>
  </si>
  <si>
    <r>
      <t xml:space="preserve">Sự nghiệp văn hóa - Thông tin </t>
    </r>
    <r>
      <rPr>
        <i/>
        <sz val="13"/>
        <rFont val="Times New Roman"/>
        <family val="1"/>
      </rPr>
      <t>(154.780 dân x 18.000đ/dân/năm)=2.786 trđ</t>
    </r>
  </si>
  <si>
    <r>
      <t xml:space="preserve">Sự nghiệp thể dục thể thao: Trung tâm văn hóa TT-TT </t>
    </r>
    <r>
      <rPr>
        <i/>
        <sz val="12"/>
        <rFont val="Times New Roman"/>
        <family val="1"/>
      </rPr>
      <t>(154.780dân x 10.000đ/dân/năm)=1.548 trđ</t>
    </r>
  </si>
  <si>
    <r>
      <t xml:space="preserve">Sự nghiệp phát thanh:  Trung tâm văn hóa TT-TT. </t>
    </r>
    <r>
      <rPr>
        <i/>
        <sz val="12"/>
        <rFont val="Times New Roman"/>
        <family val="1"/>
      </rPr>
      <t xml:space="preserve"> (154.780dân x 10.000đ/dân/năm)=1.548 trđ</t>
    </r>
  </si>
  <si>
    <r>
      <t xml:space="preserve">Sự nghiệp Văn hóa - Thông tin </t>
    </r>
    <r>
      <rPr>
        <i/>
        <sz val="11"/>
        <rFont val="Times New Roman"/>
        <family val="1"/>
      </rPr>
      <t>(154.780 dân x 18.000đ/dân/năm =2.786 trđ)</t>
    </r>
  </si>
  <si>
    <r>
      <t xml:space="preserve">Sự nghiệp phát thanh (Trung tâm Văn Hóa, Thông tin và Thể thao) </t>
    </r>
    <r>
      <rPr>
        <i/>
        <sz val="11"/>
        <rFont val="Times New Roman"/>
        <family val="1"/>
      </rPr>
      <t>(154.780 dân x 10.000đ/dân/năm = 1.548 trđ)</t>
    </r>
  </si>
  <si>
    <r>
      <t>Sự nghiệp Thể dục- Thể thao</t>
    </r>
    <r>
      <rPr>
        <i/>
        <sz val="11"/>
        <rFont val="Times New Roman"/>
        <family val="1"/>
      </rPr>
      <t xml:space="preserve"> </t>
    </r>
    <r>
      <rPr>
        <b/>
        <i/>
        <sz val="11"/>
        <rFont val="Times New Roman"/>
        <family val="1"/>
      </rPr>
      <t xml:space="preserve">(Trung tâm Văn Hóa, Thông tin và Thể thao) </t>
    </r>
    <r>
      <rPr>
        <i/>
        <sz val="11"/>
        <rFont val="Times New Roman"/>
        <family val="1"/>
      </rPr>
      <t>(154.780 dân x 10.000đ/dân/năm = 1.548 trđ)</t>
    </r>
  </si>
  <si>
    <t xml:space="preserve"> Nguồn thu phí đơn vị được sử dụng (60%)</t>
  </si>
  <si>
    <t xml:space="preserve"> Nguồn thu học phí đơn vị để lại cải cách tiền lương</t>
  </si>
  <si>
    <t>20=16-18</t>
  </si>
  <si>
    <t>- Thu học phí, dịch vụ (các đơn vị sự nghiệp tại địa phương)</t>
  </si>
  <si>
    <t>19=15-17</t>
  </si>
  <si>
    <t>Tổng Dự toán giao trong năm 2022 sau khi trừ nguồn thu dịch vụ</t>
  </si>
  <si>
    <t>- Hoạt động (154.780 dân x 65.000đ/dân/năm)= 10.061 trđ</t>
  </si>
  <si>
    <t xml:space="preserve"> Nguồn thu phí đơn vị để lại cải cách tiền lương</t>
  </si>
  <si>
    <t>15=10-11-13</t>
  </si>
  <si>
    <t>Kinh phí tháng hành động vì Người cao tuổi Việt Nam năm 2021 và các hoạt động khác</t>
  </si>
  <si>
    <t>Hội cựu chiến binh Khối vận</t>
  </si>
  <si>
    <t>Kinh phí hoạt động Hội cựu chiến binh Khối vận</t>
  </si>
  <si>
    <t>13=14+15</t>
  </si>
  <si>
    <t>16=12-14</t>
  </si>
  <si>
    <t>CÔNG KHAI DỰ TOÁN THU NGÂN SÁCH NHÀ NƯỚC NĂM 2022</t>
  </si>
  <si>
    <t>CÔNG KHAI PHƯƠNG ÁN THU TRÔNG GIỮ XE ĐẠP VÀ DỊCH VỤ KHÁC NĂM 2022</t>
  </si>
  <si>
    <t>CÔNG KHAI PHƯƠNG ÁN  THU HỌC PHÍ NĂM 2022</t>
  </si>
  <si>
    <t>CÔNG KHAI DỰ TOÁN KINH PHÍ CHI ĐẶC THÙ VÀ CHI KHÁC NĂM 2022</t>
  </si>
  <si>
    <t>CÔNG KHAI DỰ TOÁN KINH PHÍ ĐẢM BẢO TRẬT TỰ AN TOÀN GIAO THÔNG NĂM 2022</t>
  </si>
  <si>
    <t xml:space="preserve">CÔNG KHAI DỰ TOÁN THU CHI NGÂN SÁCH NHÀ NƯỚC NĂM 2022 CÁC PHƯỜNG, XÃ </t>
  </si>
  <si>
    <t xml:space="preserve">CÔNG KHAI DỰ TOÁN CHI NGÂN SÁCH NĂM 2022 - KHỐI PHƯỜNG, XÃ </t>
  </si>
  <si>
    <t xml:space="preserve">CÔNG KHAI DỰ TOÁN THU NGÂN SÁCH NHÀ NƯỚC NĂM 2022 CÁC PHƯỜNG, XÃ </t>
  </si>
  <si>
    <t>CÔNG KHAI DỰ TOÁN KINH PHÍ HOẠT ĐỘNG ĐẢNG BỘ CÁC KHỐI NĂM 2022</t>
  </si>
  <si>
    <t>CÔNG KHAI DỰ TOÁN THU- CHI SỰ NGHIỆP GIÁO DỤC NĂM 2022</t>
  </si>
  <si>
    <t>CÔNG KHAI DỰ TOÁN THU - CHI CÁC ĐƠN VỊ SỰ NGHIỆP NĂM 2022</t>
  </si>
  <si>
    <t xml:space="preserve">CÔNG KHAI DỰ TOÁN CHI LƯƠNG VÀ HOẠT ĐỘNG CHO CÁC CƠ QUAN HÀNH CHÍNH, ĐẢNG, </t>
  </si>
  <si>
    <t>CÔNG KHAI PHÂN BỔ DỰ TOÁN CHI NGÂN SÁCH NĂM 2022</t>
  </si>
  <si>
    <t>CÔNG KHAI DỰ TOÁN CHI NGÂN SÁCH NHÀ NƯỚC NĂM 2022</t>
  </si>
  <si>
    <t>(Kèm theo Quyết định số 43/QĐ-UBND ngày 10/01/2022 của UBND thành phố)</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</si>
</sst>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_-;\-* #,##0\ _€_-;_-* \-??\ _€_-;_-@_-"/>
    <numFmt numFmtId="181" formatCode="#.##0"/>
    <numFmt numFmtId="182" formatCode="_(* #,##0_);_(* \(#,##0\);_(* \-??_);_(@_)"/>
    <numFmt numFmtId="183" formatCode="#,##0;[Red]#,##0"/>
    <numFmt numFmtId="184" formatCode="_-* #,##0.00\ _€_-;\-* #,##0.00\ _€_-;_-* \-??\ _€_-;_-@_-"/>
    <numFmt numFmtId="185" formatCode="#,##0.0"/>
    <numFmt numFmtId="186" formatCode="_-* #.##0.\ _€_-;\-* #.##0.\ _€_-;_-* \-??\ _€_-;_-@_-"/>
    <numFmt numFmtId="187" formatCode="0.0"/>
    <numFmt numFmtId="188" formatCode="_(* #,##0_);_(* \(#,##0\);_(* &quot;-&quot;??_);_(@_)"/>
    <numFmt numFmtId="189" formatCode="_(* #,##0.0_);_(* \(#,##0.0\);_(* &quot;-&quot;??_);_(@_)"/>
    <numFmt numFmtId="190" formatCode="_-* #,##0_-;\-* #,##0_-;_-* &quot;-&quot;??_-;_-@_-"/>
    <numFmt numFmtId="191" formatCode="###,##0"/>
    <numFmt numFmtId="192" formatCode="_-* #,##0.00\ _€_-;\-* #,##0.00\ _€_-;_-* &quot;-&quot;??\ _€_-;_-@_-"/>
    <numFmt numFmtId="193" formatCode="_-* #,##0.0\ _€_-;\-* #,##0.0\ _€_-;_-* \-??\ _€_-;_-@_-"/>
    <numFmt numFmtId="194" formatCode="_-* #,##0\ _€_-;\-* #,##0\ _€_-;_-* &quot;-&quot;??\ _€_-;_-@_-"/>
    <numFmt numFmtId="195" formatCode="0.000"/>
    <numFmt numFmtId="196" formatCode="0.00000"/>
    <numFmt numFmtId="197" formatCode="0.0000"/>
    <numFmt numFmtId="198" formatCode="_(* #,##0.000_);_(* \(#,##0.000\);_(* &quot;-&quot;???_);_(@_)"/>
    <numFmt numFmtId="199" formatCode="#,##0.000"/>
    <numFmt numFmtId="200" formatCode="0.000000"/>
    <numFmt numFmtId="201" formatCode="_(* #,##0.000_);_(* \(#,##0.000\);_(* &quot;-&quot;??_);_(@_)"/>
    <numFmt numFmtId="202" formatCode="#,##0.0000"/>
    <numFmt numFmtId="203" formatCode="_-* #,##0.0\ _₫_-;\-* #,##0.0\ _₫_-;_-* &quot;-&quot;?\ _₫_-;_-@_-"/>
    <numFmt numFmtId="204" formatCode="_-* #,##0.0\ _₫_-;\-* #,##0.0\ _₫_-;_-* &quot;-&quot;??\ _₫_-;_-@_-"/>
    <numFmt numFmtId="205" formatCode="_-* #,##0\ _₫_-;\-* #,##0\ _₫_-;_-* &quot;-&quot;??\ _₫_-;_-@_-"/>
    <numFmt numFmtId="206" formatCode="&quot;Yes&quot;;&quot;Yes&quot;;&quot;No&quot;"/>
    <numFmt numFmtId="207" formatCode="&quot;True&quot;;&quot;True&quot;;&quot;False&quot;"/>
    <numFmt numFmtId="208" formatCode="&quot;On&quot;;&quot;On&quot;;&quot;Off&quot;"/>
    <numFmt numFmtId="209" formatCode="[$€-2]\ #,##0.00_);[Red]\([$€-2]\ #,##0.00\)"/>
    <numFmt numFmtId="210" formatCode="#,##0.0;[Red]#,##0.0"/>
    <numFmt numFmtId="211" formatCode="#,##0.00;[Red]#,##0.00"/>
    <numFmt numFmtId="212" formatCode="[$-42A]dd\ mmmm\ yyyy"/>
    <numFmt numFmtId="213" formatCode="###,##0,"/>
    <numFmt numFmtId="214" formatCode="#,##0,"/>
    <numFmt numFmtId="215" formatCode="0.0;[Red]0.0"/>
    <numFmt numFmtId="216" formatCode="###,##0.00,,"/>
    <numFmt numFmtId="217" formatCode="#,##0.00,"/>
  </numFmts>
  <fonts count="97">
    <font>
      <sz val="10"/>
      <name val="Arial"/>
      <family val="0"/>
    </font>
    <font>
      <sz val="14"/>
      <color indexed="8"/>
      <name val="Times New Roman"/>
      <family val="2"/>
    </font>
    <font>
      <b/>
      <sz val="8"/>
      <name val="Tahoma"/>
      <family val="2"/>
    </font>
    <font>
      <b/>
      <sz val="13"/>
      <name val="Times New Roman"/>
      <family val="1"/>
    </font>
    <font>
      <sz val="12"/>
      <name val="Times New Roman"/>
      <family val="1"/>
    </font>
    <font>
      <b/>
      <sz val="14"/>
      <name val="Times New Roman"/>
      <family val="1"/>
    </font>
    <font>
      <sz val="10"/>
      <name val="MS Sans Serif"/>
      <family val="2"/>
    </font>
    <font>
      <b/>
      <sz val="11"/>
      <name val="Times New Roman"/>
      <family val="1"/>
    </font>
    <font>
      <b/>
      <sz val="9"/>
      <name val="Times New Roman"/>
      <family val="1"/>
    </font>
    <font>
      <b/>
      <sz val="10"/>
      <name val="Times New Roman"/>
      <family val="1"/>
    </font>
    <font>
      <sz val="9"/>
      <name val="Times New Roman"/>
      <family val="1"/>
    </font>
    <font>
      <b/>
      <sz val="12"/>
      <name val="Times New Roman"/>
      <family val="1"/>
    </font>
    <font>
      <sz val="10"/>
      <name val="Times New Roman"/>
      <family val="1"/>
    </font>
    <font>
      <sz val="8"/>
      <name val="Tahoma"/>
      <family val="2"/>
    </font>
    <font>
      <sz val="8"/>
      <name val="Arial"/>
      <family val="2"/>
    </font>
    <font>
      <sz val="11"/>
      <name val="Times New Roman"/>
      <family val="1"/>
    </font>
    <font>
      <sz val="12"/>
      <name val="VNI-Times"/>
      <family val="0"/>
    </font>
    <font>
      <i/>
      <sz val="11"/>
      <name val="Times New Roman"/>
      <family val="1"/>
    </font>
    <font>
      <i/>
      <sz val="10"/>
      <name val="Times New Roman"/>
      <family val="1"/>
    </font>
    <font>
      <sz val="12"/>
      <name val="Arial"/>
      <family val="2"/>
    </font>
    <font>
      <i/>
      <sz val="13"/>
      <name val="Times New Roman"/>
      <family val="1"/>
    </font>
    <font>
      <sz val="10"/>
      <name val="VnTimes"/>
      <family val="0"/>
    </font>
    <font>
      <sz val="11"/>
      <color indexed="8"/>
      <name val="times new roman"/>
      <family val="2"/>
    </font>
    <font>
      <sz val="13"/>
      <name val="Times New Roman"/>
      <family val="1"/>
    </font>
    <font>
      <sz val="8"/>
      <name val="Times New Roman"/>
      <family val="1"/>
    </font>
    <font>
      <sz val="14"/>
      <name val="Times New Roman"/>
      <family val="1"/>
    </font>
    <font>
      <b/>
      <sz val="9"/>
      <name val="Tahoma"/>
      <family val="2"/>
    </font>
    <font>
      <b/>
      <sz val="10"/>
      <name val="Tahoma"/>
      <family val="2"/>
    </font>
    <font>
      <u val="single"/>
      <sz val="7.5"/>
      <color indexed="12"/>
      <name val="Arial"/>
      <family val="2"/>
    </font>
    <font>
      <u val="single"/>
      <sz val="7.5"/>
      <color indexed="36"/>
      <name val="Arial"/>
      <family val="2"/>
    </font>
    <font>
      <i/>
      <u val="single"/>
      <sz val="10"/>
      <name val="Times New Roman"/>
      <family val="1"/>
    </font>
    <font>
      <u val="single"/>
      <sz val="12"/>
      <name val="Times New Roman"/>
      <family val="1"/>
    </font>
    <font>
      <sz val="9"/>
      <name val="Tahoma"/>
      <family val="2"/>
    </font>
    <font>
      <i/>
      <sz val="14"/>
      <name val="Times New Roman"/>
      <family val="1"/>
    </font>
    <font>
      <i/>
      <sz val="12"/>
      <name val="Times New Roman"/>
      <family val="1"/>
    </font>
    <font>
      <b/>
      <i/>
      <sz val="11"/>
      <name val="Times New Roman"/>
      <family val="1"/>
    </font>
    <font>
      <b/>
      <i/>
      <sz val="10"/>
      <name val="Times New Roman"/>
      <family val="1"/>
    </font>
    <font>
      <sz val="12"/>
      <name val="Tahoma"/>
      <family val="2"/>
    </font>
    <font>
      <sz val="13"/>
      <name val="VNI-Times"/>
      <family val="0"/>
    </font>
    <font>
      <b/>
      <sz val="13"/>
      <name val="VNI-Times"/>
      <family val="0"/>
    </font>
    <font>
      <b/>
      <i/>
      <sz val="13"/>
      <name val="Times New Roman"/>
      <family val="1"/>
    </font>
    <font>
      <b/>
      <sz val="12"/>
      <name val="VNI-Times"/>
      <family val="0"/>
    </font>
    <font>
      <b/>
      <i/>
      <sz val="12"/>
      <name val="VNI-Times"/>
      <family val="0"/>
    </font>
    <font>
      <u val="single"/>
      <sz val="13"/>
      <name val="Times New Roman"/>
      <family val="1"/>
    </font>
    <font>
      <i/>
      <sz val="12"/>
      <name val="VNI-Times"/>
      <family val="0"/>
    </font>
    <font>
      <b/>
      <i/>
      <sz val="12"/>
      <name val="Times New Roman"/>
      <family val="1"/>
    </font>
    <font>
      <b/>
      <sz val="10"/>
      <name val="Arial"/>
      <family val="2"/>
    </font>
    <font>
      <b/>
      <i/>
      <sz val="10"/>
      <name val="Arial"/>
      <family val="2"/>
    </font>
    <font>
      <b/>
      <u val="single"/>
      <sz val="12"/>
      <name val="Times New Roman"/>
      <family val="1"/>
    </font>
    <font>
      <b/>
      <i/>
      <u val="single"/>
      <sz val="11"/>
      <name val="Times New Roman"/>
      <family val="1"/>
    </font>
    <font>
      <i/>
      <u val="single"/>
      <sz val="11"/>
      <name val="Times New Roman"/>
      <family val="1"/>
    </font>
    <font>
      <u val="single"/>
      <sz val="11"/>
      <name val="Times New Roman"/>
      <family val="1"/>
    </font>
    <font>
      <b/>
      <sz val="8"/>
      <name val="Times New Roman"/>
      <family val="1"/>
    </font>
    <font>
      <b/>
      <sz val="12"/>
      <name val="Arial"/>
      <family val="2"/>
    </font>
    <font>
      <b/>
      <u val="single"/>
      <sz val="14"/>
      <name val="Times New Roman"/>
      <family val="1"/>
    </font>
    <font>
      <b/>
      <i/>
      <sz val="13"/>
      <name val="VNI-Times"/>
      <family val="0"/>
    </font>
    <font>
      <sz val="10"/>
      <name val="VNI-Times"/>
      <family val="0"/>
    </font>
    <font>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b/>
      <sz val="14"/>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
      <b/>
      <sz val="14"/>
      <color theme="0"/>
      <name val="Times New Roman"/>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bottom style="thin"/>
    </border>
    <border>
      <left style="thin"/>
      <right style="thin"/>
      <top style="thin"/>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19" fillId="0" borderId="0" applyFont="0" applyFill="0" applyBorder="0" applyAlignment="0" applyProtection="0"/>
    <xf numFmtId="192" fontId="19" fillId="0" borderId="0" applyFont="0" applyFill="0" applyBorder="0" applyAlignment="0" applyProtection="0"/>
    <xf numFmtId="43" fontId="19"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2" fillId="0" borderId="0" applyNumberFormat="0" applyFill="0" applyBorder="0" applyAlignment="0" applyProtection="0"/>
    <xf numFmtId="0" fontId="29" fillId="0" borderId="0" applyNumberFormat="0" applyFill="0" applyBorder="0" applyAlignment="0" applyProtection="0"/>
    <xf numFmtId="0" fontId="83" fillId="28"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8" fillId="0" borderId="0" applyNumberFormat="0" applyFill="0" applyBorder="0" applyAlignment="0" applyProtection="0"/>
    <xf numFmtId="0" fontId="87" fillId="29" borderId="1" applyNumberFormat="0" applyAlignment="0" applyProtection="0"/>
    <xf numFmtId="0" fontId="88" fillId="0" borderId="6" applyNumberFormat="0" applyFill="0" applyAlignment="0" applyProtection="0"/>
    <xf numFmtId="0" fontId="89" fillId="30" borderId="0" applyNumberFormat="0" applyBorder="0" applyAlignment="0" applyProtection="0"/>
    <xf numFmtId="0" fontId="12"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6" fillId="0" borderId="0">
      <alignment/>
      <protection/>
    </xf>
    <xf numFmtId="0" fontId="19" fillId="0" borderId="0">
      <alignment/>
      <protection/>
    </xf>
    <xf numFmtId="0" fontId="19" fillId="0" borderId="0">
      <alignment/>
      <protection/>
    </xf>
    <xf numFmtId="0" fontId="1" fillId="0" borderId="0">
      <alignment/>
      <protection/>
    </xf>
    <xf numFmtId="0" fontId="6" fillId="0" borderId="0">
      <alignment/>
      <protection/>
    </xf>
    <xf numFmtId="0" fontId="16" fillId="0" borderId="0">
      <alignment/>
      <protection/>
    </xf>
    <xf numFmtId="0" fontId="21" fillId="0" borderId="0">
      <alignment/>
      <protection/>
    </xf>
    <xf numFmtId="0" fontId="0" fillId="0" borderId="0">
      <alignment/>
      <protection/>
    </xf>
    <xf numFmtId="0" fontId="0" fillId="31" borderId="7" applyNumberFormat="0" applyFont="0" applyAlignment="0" applyProtection="0"/>
    <xf numFmtId="0" fontId="90" fillId="26"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070">
    <xf numFmtId="0" fontId="0" fillId="0" borderId="0" xfId="0" applyAlignment="1">
      <alignment/>
    </xf>
    <xf numFmtId="0" fontId="3" fillId="0" borderId="0" xfId="0" applyFont="1" applyAlignment="1">
      <alignment/>
    </xf>
    <xf numFmtId="180" fontId="10" fillId="0" borderId="0" xfId="42" applyNumberFormat="1" applyFont="1" applyFill="1" applyAlignment="1">
      <alignment/>
    </xf>
    <xf numFmtId="180" fontId="10" fillId="0" borderId="0" xfId="42" applyNumberFormat="1" applyFont="1" applyFill="1" applyAlignment="1">
      <alignment/>
    </xf>
    <xf numFmtId="0" fontId="25" fillId="0" borderId="10" xfId="7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3" fontId="5" fillId="0" borderId="10" xfId="0" applyNumberFormat="1" applyFont="1" applyFill="1" applyBorder="1" applyAlignment="1">
      <alignment horizontal="center" vertical="center" wrapText="1"/>
    </xf>
    <xf numFmtId="0" fontId="12" fillId="0" borderId="0" xfId="74" applyFont="1" applyAlignment="1">
      <alignment horizontal="center"/>
      <protection/>
    </xf>
    <xf numFmtId="3" fontId="12" fillId="0" borderId="0" xfId="74" applyNumberFormat="1" applyFont="1" applyAlignment="1">
      <alignment horizontal="center"/>
      <protection/>
    </xf>
    <xf numFmtId="3" fontId="4" fillId="0" borderId="10" xfId="0" applyNumberFormat="1" applyFont="1" applyBorder="1" applyAlignment="1">
      <alignment horizontal="right"/>
    </xf>
    <xf numFmtId="3" fontId="5" fillId="0" borderId="10" xfId="71" applyNumberFormat="1" applyFont="1" applyFill="1" applyBorder="1" applyAlignment="1">
      <alignment horizontal="right" vertical="center" wrapText="1"/>
      <protection/>
    </xf>
    <xf numFmtId="3" fontId="4" fillId="0" borderId="10" xfId="0" applyNumberFormat="1" applyFont="1" applyBorder="1" applyAlignment="1">
      <alignment vertical="center"/>
    </xf>
    <xf numFmtId="0" fontId="5" fillId="0" borderId="10" xfId="0" applyFont="1" applyBorder="1" applyAlignment="1">
      <alignment horizontal="center" vertical="center" wrapText="1"/>
    </xf>
    <xf numFmtId="0" fontId="5" fillId="0" borderId="10" xfId="71"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0" xfId="0" applyFont="1" applyFill="1" applyAlignment="1">
      <alignment vertical="center"/>
    </xf>
    <xf numFmtId="0" fontId="12" fillId="0" borderId="0" xfId="0" applyFont="1" applyFill="1" applyAlignment="1">
      <alignment vertical="center"/>
    </xf>
    <xf numFmtId="0" fontId="25" fillId="0" borderId="10" xfId="64" applyFont="1" applyFill="1" applyBorder="1" applyAlignment="1">
      <alignment vertical="center" wrapText="1"/>
      <protection/>
    </xf>
    <xf numFmtId="0" fontId="15" fillId="0" borderId="10" xfId="0" applyFont="1" applyFill="1" applyBorder="1" applyAlignment="1">
      <alignment horizontal="right" vertical="center"/>
    </xf>
    <xf numFmtId="4" fontId="12" fillId="0" borderId="10" xfId="0" applyNumberFormat="1" applyFont="1" applyFill="1" applyBorder="1" applyAlignment="1">
      <alignment horizontal="right" vertical="center"/>
    </xf>
    <xf numFmtId="0" fontId="4" fillId="0" borderId="0" xfId="0" applyFont="1" applyFill="1" applyAlignment="1">
      <alignment vertical="center" wrapText="1"/>
    </xf>
    <xf numFmtId="3" fontId="7" fillId="0" borderId="10" xfId="0" applyNumberFormat="1" applyFont="1" applyFill="1" applyBorder="1" applyAlignment="1">
      <alignment horizontal="right" vertical="center" wrapText="1"/>
    </xf>
    <xf numFmtId="0" fontId="11" fillId="0" borderId="0" xfId="0" applyFont="1" applyFill="1" applyAlignment="1">
      <alignment vertical="center" wrapText="1"/>
    </xf>
    <xf numFmtId="1" fontId="15" fillId="0" borderId="10"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11" fillId="0" borderId="0" xfId="0" applyFont="1" applyFill="1" applyAlignment="1">
      <alignment horizontal="center" vertical="center"/>
    </xf>
    <xf numFmtId="0" fontId="25" fillId="0" borderId="0" xfId="0" applyFont="1" applyFill="1" applyAlignment="1">
      <alignment vertical="center"/>
    </xf>
    <xf numFmtId="0" fontId="33" fillId="0" borderId="0" xfId="0" applyFont="1" applyFill="1" applyBorder="1" applyAlignment="1">
      <alignment horizontal="center" vertical="center"/>
    </xf>
    <xf numFmtId="2"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1" fillId="0" borderId="0" xfId="0" applyFont="1" applyFill="1" applyAlignment="1">
      <alignment vertical="center"/>
    </xf>
    <xf numFmtId="3" fontId="12" fillId="0" borderId="10" xfId="0" applyNumberFormat="1" applyFont="1" applyFill="1" applyBorder="1" applyAlignment="1">
      <alignment horizontal="center" vertical="center" wrapText="1"/>
    </xf>
    <xf numFmtId="0" fontId="24" fillId="0" borderId="0" xfId="0" applyFont="1" applyFill="1" applyAlignment="1">
      <alignment horizontal="center" vertical="center"/>
    </xf>
    <xf numFmtId="3" fontId="7" fillId="0" borderId="10" xfId="0" applyNumberFormat="1" applyFont="1" applyFill="1" applyBorder="1" applyAlignment="1">
      <alignment horizontal="right" vertical="center"/>
    </xf>
    <xf numFmtId="0" fontId="12" fillId="0" borderId="0" xfId="0" applyFont="1" applyFill="1" applyAlignment="1">
      <alignment horizontal="center" vertical="center"/>
    </xf>
    <xf numFmtId="3" fontId="15" fillId="0" borderId="10" xfId="42" applyNumberFormat="1" applyFont="1" applyFill="1" applyBorder="1" applyAlignment="1">
      <alignment horizontal="right" vertical="center"/>
    </xf>
    <xf numFmtId="3" fontId="15" fillId="0" borderId="10" xfId="42" applyNumberFormat="1" applyFont="1" applyFill="1" applyBorder="1" applyAlignment="1">
      <alignment horizontal="right" vertical="center" wrapText="1"/>
    </xf>
    <xf numFmtId="0" fontId="7" fillId="0" borderId="0" xfId="0" applyFont="1" applyFill="1" applyAlignment="1">
      <alignment vertical="center"/>
    </xf>
    <xf numFmtId="0" fontId="11" fillId="0" borderId="0" xfId="0" applyFont="1" applyFill="1" applyAlignment="1">
      <alignment horizontal="right" vertical="center"/>
    </xf>
    <xf numFmtId="3" fontId="11" fillId="0" borderId="0" xfId="0" applyNumberFormat="1" applyFont="1" applyFill="1" applyAlignment="1">
      <alignment vertical="center"/>
    </xf>
    <xf numFmtId="0" fontId="3" fillId="0" borderId="0" xfId="0" applyFont="1" applyAlignment="1">
      <alignment vertical="center"/>
    </xf>
    <xf numFmtId="0" fontId="23" fillId="0" borderId="0" xfId="0" applyFont="1" applyAlignment="1">
      <alignment vertical="center"/>
    </xf>
    <xf numFmtId="0" fontId="23" fillId="0" borderId="0" xfId="0" applyFont="1" applyFill="1" applyAlignment="1">
      <alignment horizontal="center" vertical="center"/>
    </xf>
    <xf numFmtId="0" fontId="23" fillId="0" borderId="0" xfId="0" applyFont="1" applyAlignment="1">
      <alignment horizontal="left" vertical="center"/>
    </xf>
    <xf numFmtId="188" fontId="23" fillId="0" borderId="0" xfId="42" applyNumberFormat="1" applyFont="1" applyAlignment="1">
      <alignment vertical="center"/>
    </xf>
    <xf numFmtId="0" fontId="23" fillId="0" borderId="0" xfId="0" applyFont="1" applyFill="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15" fillId="0" borderId="0" xfId="0" applyFont="1" applyAlignment="1">
      <alignment vertical="center"/>
    </xf>
    <xf numFmtId="0" fontId="12" fillId="0" borderId="0" xfId="0" applyFont="1" applyAlignment="1">
      <alignment vertical="center"/>
    </xf>
    <xf numFmtId="3" fontId="25" fillId="0" borderId="10" xfId="71" applyNumberFormat="1" applyFont="1" applyFill="1" applyBorder="1" applyAlignment="1">
      <alignment horizontal="center" vertical="center"/>
      <protection/>
    </xf>
    <xf numFmtId="0" fontId="15" fillId="0" borderId="0" xfId="0" applyFont="1" applyFill="1" applyAlignment="1">
      <alignment vertical="center"/>
    </xf>
    <xf numFmtId="3" fontId="5" fillId="0" borderId="10" xfId="71" applyNumberFormat="1" applyFont="1" applyFill="1" applyBorder="1" applyAlignment="1">
      <alignment horizontal="left" vertical="center"/>
      <protection/>
    </xf>
    <xf numFmtId="3" fontId="5" fillId="0" borderId="10" xfId="71" applyNumberFormat="1" applyFont="1" applyFill="1" applyBorder="1" applyAlignment="1">
      <alignment horizontal="left"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3" fontId="5" fillId="0" borderId="10" xfId="71" applyNumberFormat="1" applyFont="1" applyFill="1" applyBorder="1" applyAlignment="1">
      <alignment horizontal="center" vertical="center" wrapText="1"/>
      <protection/>
    </xf>
    <xf numFmtId="0" fontId="25" fillId="0" borderId="10" xfId="0" applyFont="1" applyFill="1" applyBorder="1" applyAlignment="1" quotePrefix="1">
      <alignment horizontal="left" vertical="center"/>
    </xf>
    <xf numFmtId="49" fontId="5" fillId="0" borderId="10" xfId="0" applyNumberFormat="1" applyFont="1" applyFill="1" applyBorder="1" applyAlignment="1">
      <alignment horizontal="left" vertical="center" wrapText="1"/>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left" vertical="center" wrapText="1"/>
    </xf>
    <xf numFmtId="2" fontId="5" fillId="0" borderId="10" xfId="0" applyNumberFormat="1" applyFont="1" applyBorder="1" applyAlignment="1">
      <alignment horizontal="left" vertical="center" wrapText="1"/>
    </xf>
    <xf numFmtId="180" fontId="11" fillId="0" borderId="10" xfId="42" applyNumberFormat="1" applyFont="1" applyFill="1" applyBorder="1" applyAlignment="1">
      <alignment horizontal="right" vertical="center" wrapText="1"/>
    </xf>
    <xf numFmtId="180" fontId="7" fillId="0" borderId="10" xfId="42" applyNumberFormat="1" applyFont="1" applyFill="1" applyBorder="1" applyAlignment="1">
      <alignment horizontal="right" vertical="center" wrapText="1"/>
    </xf>
    <xf numFmtId="3" fontId="25" fillId="0" borderId="10" xfId="71" applyNumberFormat="1" applyFont="1" applyFill="1" applyBorder="1" applyAlignment="1">
      <alignment horizontal="center" vertical="center" wrapText="1"/>
      <protection/>
    </xf>
    <xf numFmtId="3" fontId="25" fillId="0" borderId="10" xfId="71" applyNumberFormat="1" applyFont="1" applyFill="1" applyBorder="1" applyAlignment="1">
      <alignment horizontal="left" vertical="center" wrapText="1"/>
      <protection/>
    </xf>
    <xf numFmtId="9" fontId="5" fillId="0" borderId="10" xfId="0" applyNumberFormat="1" applyFont="1" applyBorder="1" applyAlignment="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left" vertical="center" wrapText="1"/>
    </xf>
    <xf numFmtId="0" fontId="25" fillId="0" borderId="10" xfId="0" applyFont="1" applyBorder="1" applyAlignment="1">
      <alignment horizontal="center" vertical="center" wrapText="1"/>
    </xf>
    <xf numFmtId="3" fontId="25" fillId="0" borderId="10" xfId="0" applyNumberFormat="1" applyFont="1" applyFill="1" applyBorder="1" applyAlignment="1">
      <alignment horizontal="right" vertical="center" wrapText="1"/>
    </xf>
    <xf numFmtId="0" fontId="25" fillId="0" borderId="10" xfId="0" applyFont="1" applyFill="1" applyBorder="1" applyAlignment="1">
      <alignment horizontal="left" vertical="center" wrapText="1"/>
    </xf>
    <xf numFmtId="180" fontId="4" fillId="0" borderId="0" xfId="0" applyNumberFormat="1" applyFont="1" applyFill="1" applyAlignment="1">
      <alignment vertical="center"/>
    </xf>
    <xf numFmtId="0" fontId="4" fillId="32" borderId="0" xfId="0" applyFont="1" applyFill="1" applyAlignment="1">
      <alignment vertical="center"/>
    </xf>
    <xf numFmtId="0" fontId="10" fillId="0" borderId="0" xfId="0" applyFont="1" applyFill="1" applyAlignment="1">
      <alignment vertical="center"/>
    </xf>
    <xf numFmtId="180" fontId="7" fillId="32" borderId="10" xfId="42" applyNumberFormat="1" applyFont="1" applyFill="1" applyBorder="1" applyAlignment="1">
      <alignment horizontal="right" vertical="center" wrapText="1"/>
    </xf>
    <xf numFmtId="180" fontId="4" fillId="32" borderId="0" xfId="0" applyNumberFormat="1" applyFont="1" applyFill="1" applyAlignment="1">
      <alignment vertical="center"/>
    </xf>
    <xf numFmtId="3" fontId="5" fillId="33" borderId="10" xfId="42" applyNumberFormat="1" applyFont="1" applyFill="1" applyBorder="1" applyAlignment="1" applyProtection="1">
      <alignment horizontal="right" vertical="center" wrapText="1"/>
      <protection/>
    </xf>
    <xf numFmtId="180" fontId="10" fillId="0" borderId="10" xfId="42" applyNumberFormat="1" applyFont="1" applyFill="1" applyBorder="1" applyAlignment="1">
      <alignment horizontal="center" vertical="center" wrapText="1"/>
    </xf>
    <xf numFmtId="3" fontId="15" fillId="0" borderId="10" xfId="73" applyNumberFormat="1" applyFont="1" applyFill="1" applyBorder="1" applyAlignment="1">
      <alignment horizontal="left" vertical="center" wrapText="1"/>
      <protection/>
    </xf>
    <xf numFmtId="3" fontId="12" fillId="0" borderId="10" xfId="73" applyNumberFormat="1" applyFont="1" applyFill="1" applyBorder="1" applyAlignment="1">
      <alignment horizontal="left" vertical="center" wrapText="1"/>
      <protection/>
    </xf>
    <xf numFmtId="3" fontId="7" fillId="0" borderId="10" xfId="73" applyNumberFormat="1" applyFont="1" applyFill="1" applyBorder="1" applyAlignment="1">
      <alignment horizontal="center" vertical="center" wrapText="1"/>
      <protection/>
    </xf>
    <xf numFmtId="3" fontId="7" fillId="0" borderId="10" xfId="73" applyNumberFormat="1" applyFont="1" applyFill="1" applyBorder="1" applyAlignment="1">
      <alignment horizontal="left" vertical="center" wrapText="1"/>
      <protection/>
    </xf>
    <xf numFmtId="3" fontId="4" fillId="0" borderId="0" xfId="0" applyNumberFormat="1" applyFont="1" applyFill="1" applyAlignment="1">
      <alignment vertical="center"/>
    </xf>
    <xf numFmtId="189" fontId="12" fillId="0" borderId="0" xfId="0" applyNumberFormat="1" applyFont="1" applyFill="1" applyAlignment="1">
      <alignment vertical="center"/>
    </xf>
    <xf numFmtId="1" fontId="15" fillId="0" borderId="10" xfId="0" applyNumberFormat="1" applyFont="1" applyFill="1" applyBorder="1" applyAlignment="1">
      <alignment horizontal="right" vertical="center" wrapText="1"/>
    </xf>
    <xf numFmtId="1" fontId="15" fillId="33" borderId="10" xfId="0" applyNumberFormat="1" applyFont="1" applyFill="1" applyBorder="1" applyAlignment="1">
      <alignment horizontal="right" vertical="center"/>
    </xf>
    <xf numFmtId="0" fontId="3" fillId="33" borderId="0" xfId="0" applyFont="1" applyFill="1" applyAlignment="1">
      <alignment vertical="center"/>
    </xf>
    <xf numFmtId="0" fontId="12" fillId="33" borderId="0" xfId="0" applyFont="1" applyFill="1" applyAlignment="1">
      <alignment vertical="center"/>
    </xf>
    <xf numFmtId="0" fontId="18" fillId="33" borderId="11" xfId="0" applyFont="1" applyFill="1" applyBorder="1" applyAlignment="1">
      <alignment horizontal="center" vertical="center"/>
    </xf>
    <xf numFmtId="0" fontId="35" fillId="33" borderId="12" xfId="0" applyFont="1" applyFill="1" applyBorder="1" applyAlignment="1">
      <alignment horizontal="center" vertical="center" wrapText="1"/>
    </xf>
    <xf numFmtId="0" fontId="35"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3" fontId="12" fillId="33" borderId="0" xfId="0" applyNumberFormat="1" applyFont="1" applyFill="1" applyAlignment="1">
      <alignment vertical="center"/>
    </xf>
    <xf numFmtId="0" fontId="9" fillId="33" borderId="0" xfId="0" applyFont="1" applyFill="1" applyAlignment="1">
      <alignment vertical="center"/>
    </xf>
    <xf numFmtId="0" fontId="36" fillId="33" borderId="0" xfId="0" applyFont="1" applyFill="1" applyAlignment="1">
      <alignment vertical="center"/>
    </xf>
    <xf numFmtId="0" fontId="30" fillId="33" borderId="0" xfId="0" applyFont="1" applyFill="1" applyAlignment="1">
      <alignment vertical="center"/>
    </xf>
    <xf numFmtId="0" fontId="25" fillId="0" borderId="10" xfId="0" applyFont="1" applyBorder="1" applyAlignment="1">
      <alignment horizontal="left" vertical="center" wrapText="1"/>
    </xf>
    <xf numFmtId="3" fontId="7" fillId="33" borderId="10" xfId="73" applyNumberFormat="1" applyFont="1" applyFill="1" applyBorder="1" applyAlignment="1">
      <alignment horizontal="center" vertical="center" wrapText="1"/>
      <protection/>
    </xf>
    <xf numFmtId="3" fontId="7" fillId="33" borderId="10" xfId="73" applyNumberFormat="1" applyFont="1" applyFill="1" applyBorder="1" applyAlignment="1">
      <alignment horizontal="left" vertical="center" wrapText="1"/>
      <protection/>
    </xf>
    <xf numFmtId="190" fontId="8" fillId="0" borderId="14" xfId="48" applyNumberFormat="1" applyFont="1" applyFill="1" applyBorder="1" applyAlignment="1">
      <alignment horizontal="center" vertical="center" wrapText="1"/>
    </xf>
    <xf numFmtId="0" fontId="7" fillId="0" borderId="0" xfId="67" applyFont="1" applyBorder="1">
      <alignment/>
      <protection/>
    </xf>
    <xf numFmtId="183" fontId="7" fillId="0" borderId="0" xfId="67" applyNumberFormat="1" applyFont="1" applyBorder="1">
      <alignment/>
      <protection/>
    </xf>
    <xf numFmtId="215" fontId="15" fillId="0" borderId="0" xfId="67" applyNumberFormat="1" applyFont="1">
      <alignment/>
      <protection/>
    </xf>
    <xf numFmtId="0" fontId="15" fillId="0" borderId="0" xfId="67" applyFont="1">
      <alignment/>
      <protection/>
    </xf>
    <xf numFmtId="0" fontId="4" fillId="0" borderId="0" xfId="67" applyFont="1">
      <alignment/>
      <protection/>
    </xf>
    <xf numFmtId="0" fontId="11" fillId="0" borderId="0" xfId="67" applyFont="1">
      <alignment/>
      <protection/>
    </xf>
    <xf numFmtId="0" fontId="4" fillId="0" borderId="0" xfId="67" applyFont="1" quotePrefix="1">
      <alignment/>
      <protection/>
    </xf>
    <xf numFmtId="0" fontId="23" fillId="32" borderId="0" xfId="0" applyFont="1" applyFill="1" applyAlignment="1">
      <alignment vertical="center"/>
    </xf>
    <xf numFmtId="0" fontId="23" fillId="32" borderId="0" xfId="0" applyFont="1" applyFill="1" applyAlignment="1">
      <alignment horizontal="center" vertical="center"/>
    </xf>
    <xf numFmtId="0" fontId="23" fillId="32" borderId="10" xfId="0" applyFont="1" applyFill="1" applyBorder="1" applyAlignment="1">
      <alignment vertical="center"/>
    </xf>
    <xf numFmtId="0" fontId="23" fillId="32" borderId="10" xfId="0" applyFont="1" applyFill="1" applyBorder="1" applyAlignment="1">
      <alignment horizontal="center" vertical="center"/>
    </xf>
    <xf numFmtId="0" fontId="3" fillId="32" borderId="10" xfId="71" applyFont="1" applyFill="1" applyBorder="1" applyAlignment="1">
      <alignment horizontal="center" vertical="center" wrapText="1"/>
      <protection/>
    </xf>
    <xf numFmtId="0" fontId="3" fillId="32" borderId="10" xfId="0" applyFont="1" applyFill="1" applyBorder="1" applyAlignment="1">
      <alignment horizontal="center" vertical="center" wrapText="1"/>
    </xf>
    <xf numFmtId="3" fontId="5" fillId="32" borderId="10" xfId="71" applyNumberFormat="1" applyFont="1" applyFill="1" applyBorder="1" applyAlignment="1">
      <alignment horizontal="right" vertical="center" wrapText="1"/>
      <protection/>
    </xf>
    <xf numFmtId="0" fontId="5" fillId="32" borderId="10" xfId="71" applyFont="1" applyFill="1" applyBorder="1" applyAlignment="1">
      <alignment horizontal="center" vertical="center" wrapText="1"/>
      <protection/>
    </xf>
    <xf numFmtId="0" fontId="5" fillId="32" borderId="10" xfId="0" applyFont="1" applyFill="1" applyBorder="1" applyAlignment="1">
      <alignment horizontal="center" vertical="center" wrapText="1"/>
    </xf>
    <xf numFmtId="3" fontId="5" fillId="32" borderId="10" xfId="42" applyNumberFormat="1" applyFont="1" applyFill="1" applyBorder="1" applyAlignment="1">
      <alignment horizontal="right" vertical="center" wrapText="1"/>
    </xf>
    <xf numFmtId="0" fontId="25" fillId="32" borderId="10" xfId="0" applyFont="1" applyFill="1" applyBorder="1" applyAlignment="1">
      <alignment horizontal="center" vertical="center"/>
    </xf>
    <xf numFmtId="0" fontId="25" fillId="32" borderId="10" xfId="71" applyFont="1" applyFill="1" applyBorder="1" applyAlignment="1">
      <alignment horizontal="center" vertical="center" wrapText="1"/>
      <protection/>
    </xf>
    <xf numFmtId="0" fontId="25" fillId="33" borderId="10" xfId="71" applyFont="1" applyFill="1" applyBorder="1" applyAlignment="1">
      <alignment horizontal="right" vertical="center" wrapText="1"/>
      <protection/>
    </xf>
    <xf numFmtId="3" fontId="25" fillId="32" borderId="10" xfId="71" applyNumberFormat="1" applyFont="1" applyFill="1" applyBorder="1" applyAlignment="1">
      <alignment vertical="center"/>
      <protection/>
    </xf>
    <xf numFmtId="3" fontId="5" fillId="32" borderId="10" xfId="42" applyNumberFormat="1" applyFont="1" applyFill="1" applyBorder="1" applyAlignment="1">
      <alignment horizontal="right" vertical="center"/>
    </xf>
    <xf numFmtId="0" fontId="3" fillId="0"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5" fillId="0" borderId="10" xfId="42" applyNumberFormat="1" applyFont="1" applyFill="1" applyBorder="1" applyAlignment="1" applyProtection="1">
      <alignment horizontal="right" vertical="center" wrapText="1"/>
      <protection/>
    </xf>
    <xf numFmtId="3" fontId="11" fillId="0" borderId="10" xfId="42" applyNumberFormat="1" applyFont="1" applyFill="1" applyBorder="1" applyAlignment="1" applyProtection="1">
      <alignment horizontal="right" vertical="center" wrapText="1"/>
      <protection/>
    </xf>
    <xf numFmtId="3" fontId="4" fillId="0" borderId="10" xfId="42" applyNumberFormat="1" applyFont="1" applyFill="1" applyBorder="1" applyAlignment="1" applyProtection="1">
      <alignment horizontal="right" vertical="center" wrapText="1"/>
      <protection/>
    </xf>
    <xf numFmtId="183" fontId="11" fillId="0" borderId="10" xfId="42" applyNumberFormat="1" applyFont="1" applyFill="1" applyBorder="1" applyAlignment="1" applyProtection="1">
      <alignment horizontal="right" vertical="center" wrapText="1"/>
      <protection/>
    </xf>
    <xf numFmtId="0" fontId="7" fillId="0" borderId="10" xfId="0" applyFont="1" applyFill="1" applyBorder="1" applyAlignment="1">
      <alignment horizontal="left" vertical="center" wrapText="1"/>
    </xf>
    <xf numFmtId="0" fontId="15" fillId="0" borderId="10" xfId="0" applyFont="1" applyFill="1" applyBorder="1" applyAlignment="1">
      <alignment horizontal="left" vertical="center"/>
    </xf>
    <xf numFmtId="3" fontId="15"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xf>
    <xf numFmtId="3" fontId="7" fillId="0" borderId="10" xfId="0" applyNumberFormat="1" applyFont="1" applyFill="1" applyBorder="1" applyAlignment="1">
      <alignment vertical="center"/>
    </xf>
    <xf numFmtId="3" fontId="15" fillId="0" borderId="10" xfId="0" applyNumberFormat="1" applyFont="1" applyFill="1" applyBorder="1" applyAlignment="1">
      <alignment horizontal="center" vertical="center"/>
    </xf>
    <xf numFmtId="0" fontId="25" fillId="0" borderId="0" xfId="65" applyFont="1" applyFill="1" applyAlignment="1">
      <alignment horizontal="left"/>
      <protection/>
    </xf>
    <xf numFmtId="0" fontId="5" fillId="0" borderId="0" xfId="65" applyFont="1" applyFill="1" applyAlignment="1">
      <alignment horizontal="center"/>
      <protection/>
    </xf>
    <xf numFmtId="0" fontId="25" fillId="0" borderId="0" xfId="65" applyFont="1" applyFill="1">
      <alignment/>
      <protection/>
    </xf>
    <xf numFmtId="0" fontId="25" fillId="0" borderId="0" xfId="65" applyFont="1" applyFill="1" applyAlignment="1">
      <alignment horizontal="center"/>
      <protection/>
    </xf>
    <xf numFmtId="0" fontId="4" fillId="0" borderId="0" xfId="72" applyFont="1" applyFill="1">
      <alignment/>
      <protection/>
    </xf>
    <xf numFmtId="0" fontId="4" fillId="0" borderId="0" xfId="68" applyFont="1" applyFill="1">
      <alignment/>
      <protection/>
    </xf>
    <xf numFmtId="0" fontId="5" fillId="0" borderId="0" xfId="65" applyFont="1" applyFill="1" applyAlignment="1">
      <alignment horizontal="left"/>
      <protection/>
    </xf>
    <xf numFmtId="179" fontId="5" fillId="0" borderId="0" xfId="46" applyNumberFormat="1" applyFont="1" applyFill="1" applyAlignment="1">
      <alignment horizontal="center"/>
    </xf>
    <xf numFmtId="188" fontId="5" fillId="0" borderId="0" xfId="46" applyNumberFormat="1" applyFont="1" applyFill="1" applyAlignment="1">
      <alignment horizontal="center"/>
    </xf>
    <xf numFmtId="179" fontId="25" fillId="0" borderId="0" xfId="46" applyNumberFormat="1" applyFont="1" applyFill="1" applyAlignment="1">
      <alignment horizontal="center"/>
    </xf>
    <xf numFmtId="188" fontId="25" fillId="0" borderId="0" xfId="46" applyNumberFormat="1" applyFont="1" applyFill="1" applyAlignment="1">
      <alignment/>
    </xf>
    <xf numFmtId="179" fontId="25" fillId="0" borderId="0" xfId="46" applyNumberFormat="1" applyFont="1" applyFill="1" applyAlignment="1">
      <alignment/>
    </xf>
    <xf numFmtId="179" fontId="4" fillId="0" borderId="10" xfId="46"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188" fontId="4" fillId="0" borderId="10" xfId="46" applyNumberFormat="1" applyFont="1" applyFill="1" applyBorder="1" applyAlignment="1">
      <alignment horizontal="center" vertical="center" wrapText="1"/>
    </xf>
    <xf numFmtId="179" fontId="11" fillId="0" borderId="10" xfId="46" applyNumberFormat="1" applyFont="1" applyFill="1" applyBorder="1" applyAlignment="1">
      <alignment horizontal="center" vertical="center" wrapText="1"/>
    </xf>
    <xf numFmtId="0" fontId="24" fillId="0" borderId="15" xfId="65" applyFont="1" applyFill="1" applyBorder="1" applyAlignment="1" quotePrefix="1">
      <alignment horizontal="center" vertical="center" wrapText="1"/>
      <protection/>
    </xf>
    <xf numFmtId="0" fontId="24" fillId="0" borderId="10" xfId="65" applyFont="1" applyFill="1" applyBorder="1" applyAlignment="1" quotePrefix="1">
      <alignment horizontal="center" vertical="center" wrapText="1"/>
      <protection/>
    </xf>
    <xf numFmtId="179" fontId="24" fillId="0" borderId="10" xfId="46" applyNumberFormat="1" applyFont="1" applyFill="1" applyBorder="1" applyAlignment="1" quotePrefix="1">
      <alignment horizontal="center" vertical="center" wrapText="1"/>
    </xf>
    <xf numFmtId="179" fontId="24" fillId="0" borderId="10" xfId="46" applyNumberFormat="1" applyFont="1" applyFill="1" applyBorder="1" applyAlignment="1">
      <alignment horizontal="center" vertical="center" wrapText="1"/>
    </xf>
    <xf numFmtId="0" fontId="24" fillId="0" borderId="10" xfId="65" applyFont="1" applyFill="1" applyBorder="1" applyAlignment="1">
      <alignment horizontal="center" vertical="center" wrapText="1"/>
      <protection/>
    </xf>
    <xf numFmtId="188" fontId="24" fillId="0" borderId="10" xfId="65" applyNumberFormat="1" applyFont="1" applyFill="1" applyBorder="1" applyAlignment="1">
      <alignment vertical="center" wrapText="1"/>
      <protection/>
    </xf>
    <xf numFmtId="179" fontId="24" fillId="0" borderId="10" xfId="65" applyNumberFormat="1" applyFont="1" applyFill="1" applyBorder="1" applyAlignment="1">
      <alignment horizontal="center" vertical="center" wrapText="1"/>
      <protection/>
    </xf>
    <xf numFmtId="0" fontId="24" fillId="0" borderId="0" xfId="72" applyFont="1" applyFill="1" applyAlignment="1">
      <alignment horizontal="center" vertical="center" wrapText="1"/>
      <protection/>
    </xf>
    <xf numFmtId="0" fontId="24" fillId="0" borderId="0" xfId="68" applyFont="1" applyFill="1">
      <alignment/>
      <protection/>
    </xf>
    <xf numFmtId="0" fontId="11" fillId="0" borderId="15" xfId="65" applyFont="1" applyFill="1" applyBorder="1" applyAlignment="1" quotePrefix="1">
      <alignment horizontal="center" vertical="center" wrapText="1"/>
      <protection/>
    </xf>
    <xf numFmtId="0" fontId="11" fillId="0" borderId="15" xfId="65" applyFont="1" applyFill="1" applyBorder="1" applyAlignment="1">
      <alignment horizontal="center" vertical="center" wrapText="1"/>
      <protection/>
    </xf>
    <xf numFmtId="0" fontId="11" fillId="0" borderId="15" xfId="65" applyFont="1" applyFill="1" applyBorder="1" applyAlignment="1">
      <alignment horizontal="right" vertical="center" wrapText="1"/>
      <protection/>
    </xf>
    <xf numFmtId="205" fontId="11" fillId="0" borderId="10" xfId="72" applyNumberFormat="1" applyFont="1" applyFill="1" applyBorder="1" applyAlignment="1">
      <alignment horizontal="right" vertical="center" wrapText="1"/>
      <protection/>
    </xf>
    <xf numFmtId="0" fontId="4" fillId="0" borderId="10" xfId="65" applyFont="1" applyFill="1" applyBorder="1" applyAlignment="1">
      <alignment horizontal="left" vertical="center" wrapText="1"/>
      <protection/>
    </xf>
    <xf numFmtId="0" fontId="4" fillId="0" borderId="10" xfId="65" applyFont="1" applyFill="1" applyBorder="1" applyAlignment="1">
      <alignment horizontal="right" vertical="center" wrapText="1"/>
      <protection/>
    </xf>
    <xf numFmtId="179" fontId="4" fillId="0" borderId="10" xfId="46" applyNumberFormat="1" applyFont="1" applyFill="1" applyBorder="1" applyAlignment="1">
      <alignment horizontal="right" vertical="center" wrapText="1"/>
    </xf>
    <xf numFmtId="188" fontId="4" fillId="0" borderId="10" xfId="46" applyNumberFormat="1" applyFont="1" applyFill="1" applyBorder="1" applyAlignment="1">
      <alignment horizontal="right" vertical="center" wrapText="1"/>
    </xf>
    <xf numFmtId="189" fontId="4" fillId="0" borderId="10" xfId="46" applyNumberFormat="1" applyFont="1" applyFill="1" applyBorder="1" applyAlignment="1">
      <alignment horizontal="right" vertical="center" wrapText="1"/>
    </xf>
    <xf numFmtId="171" fontId="15" fillId="0" borderId="0" xfId="68" applyNumberFormat="1" applyFont="1" applyFill="1">
      <alignment/>
      <protection/>
    </xf>
    <xf numFmtId="0" fontId="15" fillId="0" borderId="0" xfId="68" applyFont="1" applyFill="1">
      <alignment/>
      <protection/>
    </xf>
    <xf numFmtId="0" fontId="4" fillId="0" borderId="10" xfId="65" applyFont="1" applyFill="1" applyBorder="1" applyAlignment="1">
      <alignment vertical="center" wrapText="1"/>
      <protection/>
    </xf>
    <xf numFmtId="0" fontId="11" fillId="0" borderId="10" xfId="68" applyFont="1" applyFill="1" applyBorder="1" applyAlignment="1">
      <alignment horizontal="center" vertical="center" wrapText="1"/>
      <protection/>
    </xf>
    <xf numFmtId="49" fontId="3" fillId="0" borderId="10" xfId="0" applyNumberFormat="1" applyFont="1" applyFill="1" applyBorder="1" applyAlignment="1">
      <alignment horizontal="left" vertical="center" wrapText="1"/>
    </xf>
    <xf numFmtId="0" fontId="11" fillId="0" borderId="10" xfId="68" applyFont="1" applyFill="1" applyBorder="1">
      <alignment/>
      <protection/>
    </xf>
    <xf numFmtId="179" fontId="11" fillId="0" borderId="10" xfId="68" applyNumberFormat="1" applyFont="1" applyFill="1" applyBorder="1">
      <alignment/>
      <protection/>
    </xf>
    <xf numFmtId="3" fontId="48" fillId="0" borderId="10" xfId="68" applyNumberFormat="1" applyFont="1" applyFill="1" applyBorder="1">
      <alignment/>
      <protection/>
    </xf>
    <xf numFmtId="0" fontId="11" fillId="0" borderId="0" xfId="68" applyFont="1" applyFill="1">
      <alignment/>
      <protection/>
    </xf>
    <xf numFmtId="0" fontId="34" fillId="0" borderId="10" xfId="68" applyFont="1" applyFill="1" applyBorder="1">
      <alignment/>
      <protection/>
    </xf>
    <xf numFmtId="49" fontId="18" fillId="0" borderId="10" xfId="0" applyNumberFormat="1" applyFont="1" applyFill="1" applyBorder="1" applyAlignment="1">
      <alignment horizontal="left" vertical="center" wrapText="1"/>
    </xf>
    <xf numFmtId="49" fontId="18" fillId="0" borderId="10" xfId="0" applyNumberFormat="1" applyFont="1" applyFill="1" applyBorder="1" applyAlignment="1">
      <alignment horizontal="justify" wrapText="1"/>
    </xf>
    <xf numFmtId="0" fontId="18" fillId="0" borderId="10" xfId="68" applyFont="1" applyFill="1" applyBorder="1">
      <alignment/>
      <protection/>
    </xf>
    <xf numFmtId="179" fontId="18" fillId="0" borderId="10" xfId="68" applyNumberFormat="1" applyFont="1" applyFill="1" applyBorder="1">
      <alignment/>
      <protection/>
    </xf>
    <xf numFmtId="3" fontId="18" fillId="0" borderId="10" xfId="0" applyNumberFormat="1" applyFont="1" applyFill="1" applyBorder="1" applyAlignment="1">
      <alignment horizontal="right" vertical="center"/>
    </xf>
    <xf numFmtId="0" fontId="34" fillId="0" borderId="0" xfId="68" applyFont="1" applyFill="1">
      <alignment/>
      <protection/>
    </xf>
    <xf numFmtId="0" fontId="4" fillId="0" borderId="10" xfId="68" applyFont="1" applyFill="1" applyBorder="1">
      <alignment/>
      <protection/>
    </xf>
    <xf numFmtId="179" fontId="4" fillId="0" borderId="0" xfId="68" applyNumberFormat="1" applyFont="1" applyFill="1">
      <alignment/>
      <protection/>
    </xf>
    <xf numFmtId="0" fontId="24" fillId="0" borderId="10" xfId="72" applyFont="1" applyFill="1" applyBorder="1" applyAlignment="1">
      <alignment horizontal="center" vertical="center" wrapText="1"/>
      <protection/>
    </xf>
    <xf numFmtId="0" fontId="25" fillId="0" borderId="10" xfId="72" applyFont="1" applyFill="1" applyBorder="1" applyAlignment="1">
      <alignment horizontal="right" vertical="center" wrapText="1"/>
      <protection/>
    </xf>
    <xf numFmtId="188" fontId="25" fillId="0" borderId="10" xfId="72" applyNumberFormat="1" applyFont="1" applyFill="1" applyBorder="1" applyAlignment="1">
      <alignment horizontal="right" vertical="center" wrapText="1"/>
      <protection/>
    </xf>
    <xf numFmtId="205" fontId="25" fillId="0" borderId="10" xfId="72" applyNumberFormat="1" applyFont="1" applyFill="1" applyBorder="1" applyAlignment="1">
      <alignment horizontal="right" vertical="center" wrapText="1"/>
      <protection/>
    </xf>
    <xf numFmtId="0" fontId="25" fillId="0" borderId="10" xfId="68" applyFont="1" applyFill="1" applyBorder="1" applyAlignment="1">
      <alignment horizontal="right" vertical="center" wrapText="1"/>
      <protection/>
    </xf>
    <xf numFmtId="0" fontId="7" fillId="0" borderId="10" xfId="71" applyFont="1" applyFill="1" applyBorder="1" applyAlignment="1">
      <alignment horizontal="center" vertical="center" wrapText="1"/>
      <protection/>
    </xf>
    <xf numFmtId="0" fontId="3" fillId="0" borderId="0" xfId="64" applyFont="1" applyAlignment="1">
      <alignment vertical="center"/>
      <protection/>
    </xf>
    <xf numFmtId="0" fontId="25" fillId="0" borderId="0" xfId="64" applyFont="1" applyAlignment="1">
      <alignment vertical="center" wrapText="1"/>
      <protection/>
    </xf>
    <xf numFmtId="0" fontId="25" fillId="32" borderId="0" xfId="64" applyFont="1" applyFill="1" applyAlignment="1">
      <alignment vertical="center" wrapText="1"/>
      <protection/>
    </xf>
    <xf numFmtId="188" fontId="25" fillId="0" borderId="0" xfId="44" applyNumberFormat="1" applyFont="1" applyAlignment="1">
      <alignment vertical="center"/>
    </xf>
    <xf numFmtId="0" fontId="25" fillId="0" borderId="0" xfId="64" applyFont="1" applyAlignment="1">
      <alignment vertical="center"/>
      <protection/>
    </xf>
    <xf numFmtId="0" fontId="5" fillId="0" borderId="0" xfId="64" applyFont="1" applyAlignment="1">
      <alignment horizontal="center" vertical="center"/>
      <protection/>
    </xf>
    <xf numFmtId="0" fontId="25" fillId="0" borderId="0" xfId="64" applyFont="1" applyFill="1" applyAlignment="1">
      <alignment vertical="center"/>
      <protection/>
    </xf>
    <xf numFmtId="0" fontId="25" fillId="0" borderId="11" xfId="64" applyFont="1" applyBorder="1" applyAlignment="1">
      <alignment horizontal="center" vertical="center"/>
      <protection/>
    </xf>
    <xf numFmtId="0" fontId="25" fillId="32" borderId="0" xfId="64" applyFont="1" applyFill="1" applyBorder="1" applyAlignment="1">
      <alignment horizontal="center" vertical="center"/>
      <protection/>
    </xf>
    <xf numFmtId="0" fontId="25" fillId="0" borderId="0" xfId="64" applyFont="1" applyBorder="1" applyAlignment="1">
      <alignment horizontal="center" vertical="center"/>
      <protection/>
    </xf>
    <xf numFmtId="0" fontId="17" fillId="0" borderId="0" xfId="0" applyFont="1" applyAlignment="1">
      <alignment horizontal="right" vertical="center"/>
    </xf>
    <xf numFmtId="0" fontId="5" fillId="0" borderId="10" xfId="64" applyFont="1" applyBorder="1" applyAlignment="1">
      <alignment horizontal="center" vertical="center"/>
      <protection/>
    </xf>
    <xf numFmtId="0" fontId="5" fillId="0" borderId="10" xfId="64" applyFont="1" applyBorder="1" applyAlignment="1">
      <alignment horizontal="center" vertical="center" wrapText="1"/>
      <protection/>
    </xf>
    <xf numFmtId="0" fontId="11" fillId="32" borderId="10" xfId="0" applyFont="1" applyFill="1" applyBorder="1" applyAlignment="1">
      <alignment horizontal="center" vertical="center"/>
    </xf>
    <xf numFmtId="188" fontId="5" fillId="32" borderId="10" xfId="42" applyNumberFormat="1" applyFont="1" applyFill="1" applyBorder="1" applyAlignment="1">
      <alignment horizontal="right" vertical="center" wrapText="1"/>
    </xf>
    <xf numFmtId="3" fontId="5" fillId="0" borderId="10" xfId="44" applyNumberFormat="1" applyFont="1" applyBorder="1" applyAlignment="1">
      <alignment vertical="center"/>
    </xf>
    <xf numFmtId="0" fontId="5" fillId="0" borderId="10" xfId="64" applyFont="1" applyBorder="1" applyAlignment="1">
      <alignment horizontal="left" vertical="center"/>
      <protection/>
    </xf>
    <xf numFmtId="0" fontId="5" fillId="0" borderId="10" xfId="64" applyFont="1" applyBorder="1" applyAlignment="1">
      <alignment vertical="center"/>
      <protection/>
    </xf>
    <xf numFmtId="0" fontId="5" fillId="34" borderId="10" xfId="64" applyFont="1" applyFill="1" applyBorder="1" applyAlignment="1">
      <alignment vertical="center" wrapText="1"/>
      <protection/>
    </xf>
    <xf numFmtId="0" fontId="5" fillId="0" borderId="10" xfId="64" applyFont="1" applyBorder="1" applyAlignment="1">
      <alignment horizontal="right" vertical="center" wrapText="1"/>
      <protection/>
    </xf>
    <xf numFmtId="3" fontId="5" fillId="0" borderId="10" xfId="44" applyNumberFormat="1" applyFont="1" applyFill="1" applyBorder="1" applyAlignment="1">
      <alignment vertical="center"/>
    </xf>
    <xf numFmtId="0" fontId="5" fillId="0" borderId="0" xfId="64" applyFont="1" applyAlignment="1">
      <alignment vertical="center"/>
      <protection/>
    </xf>
    <xf numFmtId="0" fontId="25" fillId="34" borderId="10" xfId="64" applyFont="1" applyFill="1" applyBorder="1" applyAlignment="1">
      <alignment vertical="center" wrapText="1"/>
      <protection/>
    </xf>
    <xf numFmtId="3" fontId="25" fillId="0" borderId="10" xfId="44" applyNumberFormat="1" applyFont="1" applyFill="1" applyBorder="1" applyAlignment="1">
      <alignment vertical="center"/>
    </xf>
    <xf numFmtId="0" fontId="25" fillId="0" borderId="10" xfId="64" applyFont="1" applyBorder="1" applyAlignment="1">
      <alignment horizontal="center" vertical="center"/>
      <protection/>
    </xf>
    <xf numFmtId="0" fontId="25" fillId="0" borderId="10" xfId="64" applyFont="1" applyBorder="1" applyAlignment="1">
      <alignment vertical="center"/>
      <protection/>
    </xf>
    <xf numFmtId="188" fontId="25" fillId="32" borderId="10" xfId="42" applyNumberFormat="1" applyFont="1" applyFill="1" applyBorder="1" applyAlignment="1">
      <alignment horizontal="right" vertical="center" wrapText="1"/>
    </xf>
    <xf numFmtId="3" fontId="25" fillId="0" borderId="16" xfId="44" applyNumberFormat="1" applyFont="1" applyFill="1" applyBorder="1" applyAlignment="1">
      <alignment vertical="center"/>
    </xf>
    <xf numFmtId="0" fontId="5" fillId="32" borderId="10" xfId="64" applyFont="1" applyFill="1" applyBorder="1" applyAlignment="1">
      <alignment vertical="center" wrapText="1"/>
      <protection/>
    </xf>
    <xf numFmtId="3" fontId="25" fillId="0" borderId="0" xfId="64" applyNumberFormat="1" applyFont="1" applyAlignment="1">
      <alignment vertical="center"/>
      <protection/>
    </xf>
    <xf numFmtId="0" fontId="5" fillId="0" borderId="10" xfId="64" applyFont="1" applyBorder="1" applyAlignment="1">
      <alignment vertical="center" wrapText="1"/>
      <protection/>
    </xf>
    <xf numFmtId="0" fontId="25" fillId="0" borderId="10" xfId="64" applyFont="1" applyBorder="1" applyAlignment="1">
      <alignment vertical="center" wrapText="1"/>
      <protection/>
    </xf>
    <xf numFmtId="3" fontId="25" fillId="0" borderId="10" xfId="44" applyNumberFormat="1" applyFont="1" applyBorder="1" applyAlignment="1">
      <alignment vertical="center"/>
    </xf>
    <xf numFmtId="0" fontId="5" fillId="0" borderId="10" xfId="64" applyFont="1" applyBorder="1" applyAlignment="1">
      <alignment horizontal="left" vertical="center" wrapText="1"/>
      <protection/>
    </xf>
    <xf numFmtId="0" fontId="25" fillId="0" borderId="10" xfId="64" applyFont="1" applyBorder="1" applyAlignment="1">
      <alignment horizontal="left" vertical="center" wrapText="1"/>
      <protection/>
    </xf>
    <xf numFmtId="0" fontId="25" fillId="0" borderId="10" xfId="64" applyFont="1" applyBorder="1" applyAlignment="1">
      <alignment horizontal="center" vertical="center" wrapText="1"/>
      <protection/>
    </xf>
    <xf numFmtId="188" fontId="25" fillId="32" borderId="10" xfId="42" applyNumberFormat="1" applyFont="1" applyFill="1" applyBorder="1" applyAlignment="1">
      <alignment horizontal="center" vertical="center" wrapText="1"/>
    </xf>
    <xf numFmtId="3" fontId="25" fillId="0" borderId="10" xfId="44" applyNumberFormat="1" applyFont="1" applyBorder="1" applyAlignment="1">
      <alignment vertical="center" wrapText="1"/>
    </xf>
    <xf numFmtId="0" fontId="5" fillId="0" borderId="16" xfId="64" applyFont="1" applyBorder="1" applyAlignment="1">
      <alignment horizontal="center" vertical="center"/>
      <protection/>
    </xf>
    <xf numFmtId="0" fontId="5" fillId="0" borderId="16" xfId="64" applyFont="1" applyBorder="1" applyAlignment="1">
      <alignment vertical="center"/>
      <protection/>
    </xf>
    <xf numFmtId="0" fontId="5" fillId="0" borderId="16" xfId="64" applyFont="1" applyBorder="1" applyAlignment="1">
      <alignment vertical="center" wrapText="1"/>
      <protection/>
    </xf>
    <xf numFmtId="188" fontId="25" fillId="32" borderId="16" xfId="42" applyNumberFormat="1" applyFont="1" applyFill="1" applyBorder="1" applyAlignment="1">
      <alignment horizontal="right" vertical="center" wrapText="1"/>
    </xf>
    <xf numFmtId="3" fontId="5" fillId="0" borderId="16" xfId="44" applyNumberFormat="1" applyFont="1" applyBorder="1" applyAlignment="1">
      <alignment vertical="center"/>
    </xf>
    <xf numFmtId="0" fontId="25" fillId="0" borderId="10" xfId="65" applyFont="1" applyBorder="1" applyAlignment="1">
      <alignment horizontal="left" vertical="center" wrapText="1"/>
      <protection/>
    </xf>
    <xf numFmtId="0" fontId="23" fillId="0" borderId="0" xfId="0" applyFont="1" applyAlignment="1">
      <alignment horizontal="center" vertical="center"/>
    </xf>
    <xf numFmtId="0" fontId="25" fillId="0" borderId="10" xfId="71" applyFont="1" applyBorder="1" applyAlignment="1">
      <alignment horizontal="left" vertical="center" wrapText="1"/>
      <protection/>
    </xf>
    <xf numFmtId="0" fontId="5" fillId="33" borderId="10" xfId="71" applyFont="1" applyFill="1" applyBorder="1" applyAlignment="1">
      <alignment horizontal="center" vertical="center" wrapText="1"/>
      <protection/>
    </xf>
    <xf numFmtId="0" fontId="25" fillId="33" borderId="10" xfId="0" applyFont="1" applyFill="1" applyBorder="1" applyAlignment="1">
      <alignment horizontal="center" vertical="center"/>
    </xf>
    <xf numFmtId="3" fontId="25" fillId="0" borderId="10" xfId="71" applyNumberFormat="1" applyFont="1" applyBorder="1" applyAlignment="1">
      <alignment horizontal="left" vertical="center"/>
      <protection/>
    </xf>
    <xf numFmtId="3" fontId="25" fillId="33" borderId="10" xfId="71" applyNumberFormat="1" applyFont="1" applyFill="1" applyBorder="1" applyAlignment="1">
      <alignment vertical="center"/>
      <protection/>
    </xf>
    <xf numFmtId="3" fontId="25" fillId="35" borderId="10" xfId="71" applyNumberFormat="1" applyFont="1" applyFill="1" applyBorder="1" applyAlignment="1">
      <alignment horizontal="left" vertical="center"/>
      <protection/>
    </xf>
    <xf numFmtId="3" fontId="25" fillId="35" borderId="10" xfId="71" applyNumberFormat="1" applyFont="1" applyFill="1" applyBorder="1" applyAlignment="1">
      <alignment vertical="center"/>
      <protection/>
    </xf>
    <xf numFmtId="0" fontId="25" fillId="35" borderId="10" xfId="0" applyFont="1" applyFill="1" applyBorder="1" applyAlignment="1">
      <alignment horizontal="center" vertical="center"/>
    </xf>
    <xf numFmtId="0" fontId="94" fillId="35" borderId="10" xfId="0" applyFont="1" applyFill="1" applyBorder="1" applyAlignment="1">
      <alignment horizontal="center" vertical="center"/>
    </xf>
    <xf numFmtId="0" fontId="94" fillId="33" borderId="10" xfId="0" applyFont="1" applyFill="1" applyBorder="1" applyAlignment="1">
      <alignment horizontal="center" vertical="center"/>
    </xf>
    <xf numFmtId="3" fontId="5" fillId="33" borderId="10" xfId="71" applyNumberFormat="1" applyFont="1" applyFill="1" applyBorder="1" applyAlignment="1">
      <alignment horizontal="center" vertical="center" wrapText="1"/>
      <protection/>
    </xf>
    <xf numFmtId="0" fontId="25" fillId="0" borderId="10" xfId="0" applyFont="1" applyBorder="1" applyAlignment="1">
      <alignment vertical="center"/>
    </xf>
    <xf numFmtId="3" fontId="5" fillId="32" borderId="10" xfId="71" applyNumberFormat="1" applyFont="1" applyFill="1" applyBorder="1" applyAlignment="1">
      <alignment vertical="center"/>
      <protection/>
    </xf>
    <xf numFmtId="3" fontId="5" fillId="32" borderId="10" xfId="71" applyNumberFormat="1" applyFont="1" applyFill="1" applyBorder="1" applyAlignment="1">
      <alignment horizontal="center" vertical="center"/>
      <protection/>
    </xf>
    <xf numFmtId="3" fontId="25" fillId="0" borderId="10" xfId="42" applyNumberFormat="1" applyFont="1" applyFill="1" applyBorder="1" applyAlignment="1">
      <alignment horizontal="right" vertical="center"/>
    </xf>
    <xf numFmtId="3" fontId="25" fillId="0" borderId="10" xfId="71" applyNumberFormat="1" applyFont="1" applyBorder="1" applyAlignment="1">
      <alignment horizontal="left" vertical="center" wrapText="1"/>
      <protection/>
    </xf>
    <xf numFmtId="0" fontId="3" fillId="0" borderId="0" xfId="0" applyFont="1" applyAlignment="1">
      <alignment horizontal="left" vertical="center"/>
    </xf>
    <xf numFmtId="0" fontId="25"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center" vertical="center"/>
    </xf>
    <xf numFmtId="3" fontId="5" fillId="0" borderId="10" xfId="71" applyNumberFormat="1" applyFont="1" applyFill="1" applyBorder="1" applyAlignment="1">
      <alignment horizontal="right" vertical="center"/>
      <protection/>
    </xf>
    <xf numFmtId="3" fontId="25" fillId="0" borderId="10" xfId="0" applyNumberFormat="1" applyFont="1" applyBorder="1" applyAlignment="1">
      <alignment horizontal="right" vertical="center"/>
    </xf>
    <xf numFmtId="1" fontId="25" fillId="0" borderId="10" xfId="0" applyNumberFormat="1" applyFont="1" applyBorder="1" applyAlignment="1">
      <alignment vertical="center"/>
    </xf>
    <xf numFmtId="3" fontId="25" fillId="0" borderId="10" xfId="0" applyNumberFormat="1" applyFont="1" applyBorder="1" applyAlignment="1">
      <alignment vertical="center"/>
    </xf>
    <xf numFmtId="3" fontId="5" fillId="0" borderId="10" xfId="0" applyNumberFormat="1" applyFont="1" applyBorder="1" applyAlignment="1">
      <alignment horizontal="right" vertical="center"/>
    </xf>
    <xf numFmtId="0" fontId="5" fillId="0" borderId="10" xfId="0" applyFont="1" applyBorder="1" applyAlignment="1">
      <alignment horizontal="right" vertical="center"/>
    </xf>
    <xf numFmtId="0" fontId="25" fillId="0" borderId="10" xfId="0" applyFont="1" applyBorder="1" applyAlignment="1">
      <alignment horizontal="center" vertical="center"/>
    </xf>
    <xf numFmtId="0" fontId="25" fillId="0" borderId="10" xfId="0" applyFont="1" applyBorder="1" applyAlignment="1">
      <alignment horizontal="right" vertical="center"/>
    </xf>
    <xf numFmtId="0" fontId="15" fillId="0" borderId="10" xfId="7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15" fillId="32" borderId="10" xfId="0" applyFont="1" applyFill="1" applyBorder="1" applyAlignment="1">
      <alignment horizontal="center" vertical="center" wrapText="1"/>
    </xf>
    <xf numFmtId="179" fontId="7" fillId="0" borderId="10" xfId="42" applyFont="1" applyFill="1" applyBorder="1" applyAlignment="1">
      <alignment horizontal="center" vertical="center" wrapText="1"/>
    </xf>
    <xf numFmtId="179" fontId="7" fillId="0" borderId="10" xfId="42" applyFont="1" applyFill="1" applyBorder="1" applyAlignment="1">
      <alignment horizontal="left" vertical="center" wrapText="1"/>
    </xf>
    <xf numFmtId="0" fontId="15" fillId="0" borderId="10" xfId="71" applyFont="1" applyFill="1" applyBorder="1" applyAlignment="1">
      <alignment horizontal="left" vertical="center" wrapText="1"/>
      <protection/>
    </xf>
    <xf numFmtId="0" fontId="15" fillId="0" borderId="10" xfId="71" applyFont="1" applyFill="1" applyBorder="1" applyAlignment="1">
      <alignment horizontal="right" vertical="center" wrapText="1"/>
      <protection/>
    </xf>
    <xf numFmtId="3" fontId="15" fillId="0" borderId="10" xfId="71" applyNumberFormat="1" applyFont="1" applyFill="1" applyBorder="1" applyAlignment="1">
      <alignment horizontal="right" vertical="center" wrapText="1"/>
      <protection/>
    </xf>
    <xf numFmtId="180" fontId="15" fillId="0" borderId="10" xfId="42" applyNumberFormat="1" applyFont="1" applyFill="1" applyBorder="1" applyAlignment="1">
      <alignment horizontal="right" vertical="center" wrapText="1"/>
    </xf>
    <xf numFmtId="180" fontId="15" fillId="32" borderId="10" xfId="42" applyNumberFormat="1" applyFont="1" applyFill="1" applyBorder="1" applyAlignment="1">
      <alignment horizontal="right" vertical="center" wrapText="1"/>
    </xf>
    <xf numFmtId="180" fontId="15" fillId="0" borderId="10" xfId="0" applyNumberFormat="1" applyFont="1" applyFill="1" applyBorder="1" applyAlignment="1">
      <alignment vertical="center"/>
    </xf>
    <xf numFmtId="0" fontId="15" fillId="0" borderId="10" xfId="0" applyFont="1" applyFill="1" applyBorder="1" applyAlignment="1">
      <alignment vertical="center"/>
    </xf>
    <xf numFmtId="3" fontId="15" fillId="0" borderId="10" xfId="0" applyNumberFormat="1" applyFont="1" applyFill="1" applyBorder="1" applyAlignment="1">
      <alignment horizontal="right" vertical="center"/>
    </xf>
    <xf numFmtId="3" fontId="15" fillId="0" borderId="10" xfId="71" applyNumberFormat="1" applyFont="1" applyFill="1" applyBorder="1" applyAlignment="1">
      <alignment horizontal="center" vertical="center" wrapText="1"/>
      <protection/>
    </xf>
    <xf numFmtId="3" fontId="7" fillId="0" borderId="10" xfId="71" applyNumberFormat="1" applyFont="1" applyFill="1" applyBorder="1" applyAlignment="1">
      <alignment horizontal="right" vertical="center" wrapText="1"/>
      <protection/>
    </xf>
    <xf numFmtId="180" fontId="7" fillId="0" borderId="10" xfId="42" applyNumberFormat="1" applyFont="1" applyFill="1" applyBorder="1" applyAlignment="1">
      <alignment horizontal="center" vertical="center" wrapText="1"/>
    </xf>
    <xf numFmtId="180" fontId="7" fillId="0" borderId="10" xfId="42"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88" fontId="7" fillId="0" borderId="10" xfId="42" applyNumberFormat="1" applyFont="1" applyFill="1" applyBorder="1" applyAlignment="1">
      <alignment horizontal="right" vertical="center" wrapText="1"/>
    </xf>
    <xf numFmtId="3" fontId="15" fillId="0" borderId="10" xfId="0" applyNumberFormat="1" applyFont="1" applyFill="1" applyBorder="1" applyAlignment="1">
      <alignment horizontal="left" vertical="center" wrapText="1"/>
    </xf>
    <xf numFmtId="188" fontId="15" fillId="0" borderId="10" xfId="42" applyNumberFormat="1" applyFont="1" applyFill="1" applyBorder="1" applyAlignment="1">
      <alignment horizontal="right" vertical="center" wrapText="1"/>
    </xf>
    <xf numFmtId="180" fontId="15" fillId="0" borderId="10" xfId="0" applyNumberFormat="1" applyFont="1" applyFill="1" applyBorder="1" applyAlignment="1">
      <alignment horizontal="right" vertical="center"/>
    </xf>
    <xf numFmtId="0" fontId="15" fillId="0" borderId="10" xfId="0" applyNumberFormat="1" applyFont="1" applyFill="1" applyBorder="1" applyAlignment="1">
      <alignment horizontal="left" vertical="center" wrapText="1"/>
    </xf>
    <xf numFmtId="180" fontId="7" fillId="0" borderId="10" xfId="42" applyNumberFormat="1" applyFont="1" applyFill="1" applyBorder="1" applyAlignment="1">
      <alignment vertical="center" wrapText="1"/>
    </xf>
    <xf numFmtId="188" fontId="7" fillId="0" borderId="10" xfId="42" applyNumberFormat="1" applyFont="1" applyFill="1" applyBorder="1" applyAlignment="1">
      <alignment vertical="center" wrapText="1"/>
    </xf>
    <xf numFmtId="3" fontId="7" fillId="0" borderId="10" xfId="71" applyNumberFormat="1" applyFont="1" applyFill="1" applyBorder="1" applyAlignment="1">
      <alignment vertical="center" wrapText="1"/>
      <protection/>
    </xf>
    <xf numFmtId="3" fontId="4" fillId="0" borderId="10" xfId="0" applyNumberFormat="1" applyFont="1" applyFill="1" applyBorder="1" applyAlignment="1">
      <alignment vertical="center"/>
    </xf>
    <xf numFmtId="3" fontId="15" fillId="0" borderId="10" xfId="0" applyNumberFormat="1" applyFont="1" applyFill="1" applyBorder="1" applyAlignment="1">
      <alignment vertical="center"/>
    </xf>
    <xf numFmtId="0" fontId="7" fillId="3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71" applyFont="1" applyFill="1" applyBorder="1" applyAlignment="1">
      <alignment horizontal="right" vertical="center" wrapText="1"/>
      <protection/>
    </xf>
    <xf numFmtId="3" fontId="7" fillId="0" borderId="10" xfId="42" applyNumberFormat="1" applyFont="1" applyFill="1" applyBorder="1" applyAlignment="1">
      <alignment horizontal="right" vertical="center" wrapText="1"/>
    </xf>
    <xf numFmtId="0" fontId="7" fillId="0" borderId="10" xfId="71" applyFont="1" applyFill="1" applyBorder="1" applyAlignment="1">
      <alignment horizontal="left" vertical="center" wrapText="1"/>
      <protection/>
    </xf>
    <xf numFmtId="180" fontId="7" fillId="0" borderId="10" xfId="71" applyNumberFormat="1" applyFont="1" applyFill="1" applyBorder="1" applyAlignment="1">
      <alignment horizontal="right" vertical="center" wrapText="1"/>
      <protection/>
    </xf>
    <xf numFmtId="180" fontId="7" fillId="32" borderId="10" xfId="71" applyNumberFormat="1" applyFont="1" applyFill="1" applyBorder="1" applyAlignment="1">
      <alignment horizontal="right" vertical="center" wrapText="1"/>
      <protection/>
    </xf>
    <xf numFmtId="180" fontId="7" fillId="0" borderId="10" xfId="71" applyNumberFormat="1" applyFont="1" applyFill="1" applyBorder="1" applyAlignment="1">
      <alignment vertical="center" wrapText="1"/>
      <protection/>
    </xf>
    <xf numFmtId="0" fontId="7" fillId="0" borderId="10" xfId="0" applyFont="1" applyFill="1" applyBorder="1" applyAlignment="1">
      <alignment vertical="center"/>
    </xf>
    <xf numFmtId="3" fontId="7" fillId="0" borderId="10" xfId="42" applyNumberFormat="1" applyFont="1" applyFill="1" applyBorder="1" applyAlignment="1">
      <alignment vertical="center" wrapText="1"/>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left" vertical="center" wrapText="1"/>
    </xf>
    <xf numFmtId="3" fontId="15" fillId="0" borderId="10" xfId="45" applyNumberFormat="1" applyFont="1" applyFill="1" applyBorder="1" applyAlignment="1">
      <alignment horizontal="right" vertical="center" wrapText="1"/>
    </xf>
    <xf numFmtId="3" fontId="7" fillId="0" borderId="10" xfId="71" applyNumberFormat="1" applyFont="1" applyFill="1" applyBorder="1" applyAlignment="1">
      <alignment horizontal="left" vertical="center" wrapText="1"/>
      <protection/>
    </xf>
    <xf numFmtId="0" fontId="15" fillId="0" borderId="10" xfId="0" applyFont="1" applyFill="1" applyBorder="1" applyAlignment="1">
      <alignment horizontal="left" vertical="center" wrapText="1"/>
    </xf>
    <xf numFmtId="0" fontId="15" fillId="0" borderId="10" xfId="71" applyFont="1" applyBorder="1" applyAlignment="1">
      <alignment horizontal="left" vertical="center" wrapText="1"/>
      <protection/>
    </xf>
    <xf numFmtId="0" fontId="15" fillId="0" borderId="10" xfId="71" applyFont="1" applyBorder="1" applyAlignment="1">
      <alignment horizontal="right" vertical="center" wrapText="1"/>
      <protection/>
    </xf>
    <xf numFmtId="3" fontId="15" fillId="0" borderId="10" xfId="71" applyNumberFormat="1" applyFont="1" applyBorder="1" applyAlignment="1">
      <alignment horizontal="right" vertical="center" wrapText="1"/>
      <protection/>
    </xf>
    <xf numFmtId="180" fontId="15" fillId="35" borderId="10" xfId="42" applyNumberFormat="1" applyFont="1" applyFill="1" applyBorder="1" applyAlignment="1">
      <alignment horizontal="right" vertical="center" wrapText="1"/>
    </xf>
    <xf numFmtId="3" fontId="15" fillId="0" borderId="10" xfId="71" applyNumberFormat="1" applyFont="1" applyBorder="1" applyAlignment="1">
      <alignment horizontal="left" vertical="center" wrapText="1"/>
      <protection/>
    </xf>
    <xf numFmtId="3" fontId="15" fillId="0" borderId="10" xfId="71" applyNumberFormat="1" applyFont="1" applyBorder="1" applyAlignment="1">
      <alignment horizontal="right" vertical="center"/>
      <protection/>
    </xf>
    <xf numFmtId="180" fontId="15" fillId="0" borderId="10" xfId="42" applyNumberFormat="1" applyFont="1" applyFill="1" applyBorder="1" applyAlignment="1">
      <alignment horizontal="left" vertical="center" wrapText="1"/>
    </xf>
    <xf numFmtId="3" fontId="15" fillId="0" borderId="10" xfId="0" applyNumberFormat="1" applyFont="1" applyBorder="1" applyAlignment="1">
      <alignment horizontal="right" vertical="center"/>
    </xf>
    <xf numFmtId="0" fontId="15" fillId="0" borderId="10" xfId="0" applyFont="1" applyBorder="1" applyAlignment="1">
      <alignment horizontal="left" vertical="center"/>
    </xf>
    <xf numFmtId="0" fontId="15" fillId="0" borderId="10" xfId="0" applyFont="1" applyBorder="1" applyAlignment="1">
      <alignment vertical="center"/>
    </xf>
    <xf numFmtId="0" fontId="15" fillId="0" borderId="10" xfId="63" applyFont="1" applyBorder="1" applyAlignment="1">
      <alignment horizontal="left" vertical="center"/>
      <protection/>
    </xf>
    <xf numFmtId="0" fontId="15" fillId="0" borderId="10" xfId="63" applyFont="1" applyBorder="1" applyAlignment="1">
      <alignment horizontal="left" vertical="center" wrapText="1"/>
      <protection/>
    </xf>
    <xf numFmtId="0" fontId="15" fillId="0" borderId="10" xfId="0" applyFont="1" applyBorder="1" applyAlignment="1">
      <alignment horizontal="left" vertical="center" wrapText="1"/>
    </xf>
    <xf numFmtId="0" fontId="15" fillId="33" borderId="10" xfId="0" applyFont="1" applyFill="1" applyBorder="1" applyAlignment="1">
      <alignment horizontal="center" vertical="center" wrapText="1"/>
    </xf>
    <xf numFmtId="3" fontId="7" fillId="33" borderId="10" xfId="0" applyNumberFormat="1" applyFont="1" applyFill="1" applyBorder="1" applyAlignment="1">
      <alignment horizontal="right" vertical="center" wrapText="1"/>
    </xf>
    <xf numFmtId="185" fontId="7" fillId="33" borderId="10" xfId="0" applyNumberFormat="1" applyFont="1" applyFill="1" applyBorder="1" applyAlignment="1">
      <alignment horizontal="right" vertical="center" wrapText="1"/>
    </xf>
    <xf numFmtId="49" fontId="7" fillId="33" borderId="10" xfId="0" applyNumberFormat="1" applyFont="1" applyFill="1" applyBorder="1" applyAlignment="1">
      <alignment vertical="center" wrapText="1"/>
    </xf>
    <xf numFmtId="3" fontId="7" fillId="33" borderId="10" xfId="42" applyNumberFormat="1" applyFont="1" applyFill="1" applyBorder="1" applyAlignment="1">
      <alignment horizontal="right" vertical="center" wrapText="1"/>
    </xf>
    <xf numFmtId="185" fontId="7" fillId="33" borderId="10" xfId="42" applyNumberFormat="1" applyFont="1" applyFill="1" applyBorder="1" applyAlignment="1">
      <alignment horizontal="right" vertical="center" wrapText="1"/>
    </xf>
    <xf numFmtId="3" fontId="49" fillId="33" borderId="10" xfId="42" applyNumberFormat="1" applyFont="1" applyFill="1" applyBorder="1" applyAlignment="1">
      <alignment horizontal="right" vertical="center" wrapText="1"/>
    </xf>
    <xf numFmtId="185" fontId="49" fillId="33" borderId="10" xfId="42" applyNumberFormat="1" applyFont="1" applyFill="1" applyBorder="1" applyAlignment="1">
      <alignment horizontal="right" vertical="center" wrapText="1"/>
    </xf>
    <xf numFmtId="0" fontId="50" fillId="33" borderId="10" xfId="0" applyFont="1" applyFill="1" applyBorder="1" applyAlignment="1">
      <alignment horizontal="center" vertical="center" wrapText="1"/>
    </xf>
    <xf numFmtId="0" fontId="17" fillId="33" borderId="10" xfId="0" applyFont="1" applyFill="1" applyBorder="1" applyAlignment="1">
      <alignment horizontal="left" vertical="center" wrapText="1"/>
    </xf>
    <xf numFmtId="3" fontId="50" fillId="33" borderId="10" xfId="42" applyNumberFormat="1" applyFont="1" applyFill="1" applyBorder="1" applyAlignment="1">
      <alignment horizontal="right" vertical="center" wrapText="1"/>
    </xf>
    <xf numFmtId="185" fontId="50" fillId="33" borderId="10" xfId="42" applyNumberFormat="1" applyFont="1" applyFill="1" applyBorder="1" applyAlignment="1">
      <alignment horizontal="right" vertical="center" wrapText="1"/>
    </xf>
    <xf numFmtId="3" fontId="50" fillId="33" borderId="10" xfId="0" applyNumberFormat="1" applyFont="1" applyFill="1" applyBorder="1" applyAlignment="1">
      <alignment horizontal="right" vertical="center" wrapText="1"/>
    </xf>
    <xf numFmtId="3" fontId="51" fillId="33" borderId="10" xfId="0" applyNumberFormat="1" applyFont="1" applyFill="1" applyBorder="1" applyAlignment="1">
      <alignment horizontal="right" vertical="center" wrapText="1"/>
    </xf>
    <xf numFmtId="0" fontId="15" fillId="33" borderId="10" xfId="0" applyFont="1" applyFill="1" applyBorder="1" applyAlignment="1">
      <alignment horizontal="left" vertical="center" wrapText="1"/>
    </xf>
    <xf numFmtId="3" fontId="15" fillId="33" borderId="10" xfId="42" applyNumberFormat="1" applyFont="1" applyFill="1" applyBorder="1" applyAlignment="1">
      <alignment horizontal="right" vertical="center" wrapText="1"/>
    </xf>
    <xf numFmtId="185" fontId="15" fillId="33" borderId="10" xfId="42" applyNumberFormat="1" applyFont="1" applyFill="1" applyBorder="1" applyAlignment="1">
      <alignment horizontal="right" vertical="center" wrapText="1"/>
    </xf>
    <xf numFmtId="3" fontId="15" fillId="33" borderId="10" xfId="0" applyNumberFormat="1" applyFont="1" applyFill="1" applyBorder="1" applyAlignment="1">
      <alignment horizontal="right" vertical="center" wrapText="1"/>
    </xf>
    <xf numFmtId="0" fontId="15" fillId="33" borderId="10" xfId="0" applyFont="1" applyFill="1" applyBorder="1" applyAlignment="1">
      <alignment vertical="center"/>
    </xf>
    <xf numFmtId="0" fontId="7" fillId="33" borderId="10" xfId="0" applyFont="1" applyFill="1" applyBorder="1" applyAlignment="1">
      <alignment horizontal="left" vertical="center" wrapText="1"/>
    </xf>
    <xf numFmtId="0" fontId="12" fillId="35" borderId="10" xfId="0" applyFont="1" applyFill="1" applyBorder="1" applyAlignment="1">
      <alignment horizontal="left" vertical="center" wrapText="1"/>
    </xf>
    <xf numFmtId="0" fontId="7" fillId="35" borderId="10" xfId="0" applyFont="1" applyFill="1" applyBorder="1" applyAlignment="1">
      <alignment horizontal="left" vertical="center" wrapText="1"/>
    </xf>
    <xf numFmtId="188" fontId="7" fillId="35" borderId="10" xfId="42" applyNumberFormat="1" applyFont="1" applyFill="1" applyBorder="1" applyAlignment="1">
      <alignment horizontal="right" vertical="center" wrapText="1"/>
    </xf>
    <xf numFmtId="180" fontId="7" fillId="35" borderId="10" xfId="42" applyNumberFormat="1" applyFont="1" applyFill="1" applyBorder="1" applyAlignment="1">
      <alignment horizontal="right" vertical="center" wrapText="1"/>
    </xf>
    <xf numFmtId="180" fontId="7" fillId="35" borderId="10" xfId="42" applyNumberFormat="1" applyFont="1" applyFill="1" applyBorder="1" applyAlignment="1">
      <alignment vertical="center" wrapText="1"/>
    </xf>
    <xf numFmtId="0" fontId="4" fillId="35" borderId="0" xfId="0" applyFont="1" applyFill="1" applyAlignment="1">
      <alignment vertical="center"/>
    </xf>
    <xf numFmtId="0" fontId="15" fillId="35" borderId="10" xfId="0" applyFont="1" applyFill="1" applyBorder="1" applyAlignment="1">
      <alignment horizontal="center" vertical="center" wrapText="1"/>
    </xf>
    <xf numFmtId="0" fontId="15" fillId="35" borderId="10" xfId="0" applyFont="1" applyFill="1" applyBorder="1" applyAlignment="1">
      <alignment horizontal="left" vertical="center" wrapText="1"/>
    </xf>
    <xf numFmtId="188" fontId="15" fillId="35" borderId="10" xfId="42" applyNumberFormat="1" applyFont="1" applyFill="1" applyBorder="1" applyAlignment="1">
      <alignment horizontal="right" vertical="center" wrapText="1"/>
    </xf>
    <xf numFmtId="180" fontId="15" fillId="35" borderId="10" xfId="0" applyNumberFormat="1" applyFont="1" applyFill="1" applyBorder="1" applyAlignment="1">
      <alignment vertical="center"/>
    </xf>
    <xf numFmtId="0" fontId="15" fillId="35" borderId="10" xfId="0" applyFont="1" applyFill="1" applyBorder="1" applyAlignment="1">
      <alignment vertical="center"/>
    </xf>
    <xf numFmtId="3" fontId="15" fillId="35" borderId="10" xfId="0" applyNumberFormat="1" applyFont="1" applyFill="1" applyBorder="1" applyAlignment="1">
      <alignment horizontal="right" vertical="center"/>
    </xf>
    <xf numFmtId="49" fontId="15" fillId="35" borderId="10" xfId="0" applyNumberFormat="1" applyFont="1" applyFill="1" applyBorder="1" applyAlignment="1">
      <alignment horizontal="left" vertical="center" wrapText="1"/>
    </xf>
    <xf numFmtId="3" fontId="5" fillId="0" borderId="16" xfId="42" applyNumberFormat="1" applyFont="1" applyFill="1" applyBorder="1" applyAlignment="1">
      <alignment horizontal="right" vertical="center" wrapText="1"/>
    </xf>
    <xf numFmtId="3" fontId="5" fillId="0" borderId="15" xfId="42" applyNumberFormat="1" applyFont="1" applyFill="1" applyBorder="1" applyAlignment="1">
      <alignment horizontal="right" vertical="center"/>
    </xf>
    <xf numFmtId="3" fontId="5" fillId="35" borderId="10" xfId="71" applyNumberFormat="1" applyFont="1" applyFill="1" applyBorder="1" applyAlignment="1">
      <alignment vertical="center"/>
      <protection/>
    </xf>
    <xf numFmtId="3" fontId="25" fillId="0" borderId="10" xfId="42" applyNumberFormat="1" applyFont="1" applyFill="1" applyBorder="1" applyAlignment="1">
      <alignment horizontal="right" vertical="center" wrapText="1"/>
    </xf>
    <xf numFmtId="3" fontId="5" fillId="0" borderId="10" xfId="42" applyNumberFormat="1" applyFont="1" applyFill="1" applyBorder="1" applyAlignment="1">
      <alignment horizontal="right" vertical="center" wrapText="1"/>
    </xf>
    <xf numFmtId="3" fontId="15" fillId="35" borderId="10" xfId="42" applyNumberFormat="1" applyFont="1" applyFill="1" applyBorder="1" applyAlignment="1">
      <alignment horizontal="right" vertical="center" wrapText="1"/>
    </xf>
    <xf numFmtId="3" fontId="15" fillId="35" borderId="10" xfId="0" applyNumberFormat="1" applyFont="1" applyFill="1" applyBorder="1" applyAlignment="1">
      <alignment horizontal="right" vertical="center" wrapText="1"/>
    </xf>
    <xf numFmtId="0" fontId="12" fillId="35" borderId="0" xfId="0" applyFont="1" applyFill="1" applyAlignment="1">
      <alignment vertical="center"/>
    </xf>
    <xf numFmtId="3" fontId="7" fillId="35" borderId="10" xfId="71" applyNumberFormat="1" applyFont="1" applyFill="1" applyBorder="1" applyAlignment="1">
      <alignment horizontal="left" vertical="center" wrapText="1"/>
      <protection/>
    </xf>
    <xf numFmtId="3" fontId="7" fillId="35" borderId="10" xfId="42" applyNumberFormat="1" applyFont="1" applyFill="1" applyBorder="1" applyAlignment="1">
      <alignment horizontal="right" vertical="center" wrapText="1"/>
    </xf>
    <xf numFmtId="0" fontId="9" fillId="35" borderId="0" xfId="0" applyFont="1" applyFill="1" applyAlignment="1">
      <alignment vertical="center"/>
    </xf>
    <xf numFmtId="0" fontId="15" fillId="35" borderId="10" xfId="0" applyFont="1" applyFill="1" applyBorder="1" applyAlignment="1">
      <alignment horizontal="left" vertical="center"/>
    </xf>
    <xf numFmtId="0" fontId="12" fillId="35" borderId="10" xfId="0" applyFont="1" applyFill="1" applyBorder="1" applyAlignment="1" quotePrefix="1">
      <alignment vertical="center" wrapText="1"/>
    </xf>
    <xf numFmtId="0" fontId="3" fillId="35" borderId="0" xfId="0" applyFont="1" applyFill="1" applyAlignment="1">
      <alignment horizontal="left"/>
    </xf>
    <xf numFmtId="49" fontId="3" fillId="35" borderId="0" xfId="0" applyNumberFormat="1" applyFont="1" applyFill="1" applyAlignment="1">
      <alignment/>
    </xf>
    <xf numFmtId="0" fontId="3" fillId="35" borderId="0" xfId="0" applyFont="1" applyFill="1" applyAlignment="1">
      <alignment/>
    </xf>
    <xf numFmtId="0" fontId="38" fillId="35" borderId="0" xfId="0" applyFont="1" applyFill="1" applyBorder="1" applyAlignment="1">
      <alignment/>
    </xf>
    <xf numFmtId="0" fontId="38" fillId="35" borderId="0" xfId="0" applyFont="1" applyFill="1" applyAlignment="1">
      <alignment/>
    </xf>
    <xf numFmtId="0" fontId="23" fillId="35" borderId="0" xfId="0" applyFont="1" applyFill="1" applyAlignment="1">
      <alignment horizontal="center"/>
    </xf>
    <xf numFmtId="49" fontId="39" fillId="35" borderId="0" xfId="0" applyNumberFormat="1" applyFont="1" applyFill="1" applyAlignment="1">
      <alignment/>
    </xf>
    <xf numFmtId="0" fontId="11" fillId="35" borderId="0" xfId="0" applyFont="1" applyFill="1" applyBorder="1" applyAlignment="1">
      <alignment horizontal="center"/>
    </xf>
    <xf numFmtId="49" fontId="34" fillId="35" borderId="0" xfId="0" applyNumberFormat="1" applyFont="1" applyFill="1" applyBorder="1" applyAlignment="1">
      <alignment horizontal="center"/>
    </xf>
    <xf numFmtId="3" fontId="11" fillId="35" borderId="0" xfId="0" applyNumberFormat="1" applyFont="1" applyFill="1" applyBorder="1" applyAlignment="1">
      <alignment horizontal="center"/>
    </xf>
    <xf numFmtId="0" fontId="34" fillId="35" borderId="0" xfId="0" applyFont="1" applyFill="1" applyBorder="1" applyAlignment="1">
      <alignment horizontal="center"/>
    </xf>
    <xf numFmtId="3" fontId="38" fillId="35" borderId="0" xfId="0" applyNumberFormat="1" applyFont="1" applyFill="1" applyBorder="1" applyAlignment="1">
      <alignment/>
    </xf>
    <xf numFmtId="0" fontId="11" fillId="35" borderId="10" xfId="0" applyFont="1" applyFill="1" applyBorder="1" applyAlignment="1">
      <alignment horizontal="center" vertical="center" wrapText="1"/>
    </xf>
    <xf numFmtId="49" fontId="11" fillId="35" borderId="10" xfId="0" applyNumberFormat="1" applyFont="1" applyFill="1" applyBorder="1" applyAlignment="1">
      <alignment horizontal="center" vertical="center" wrapText="1"/>
    </xf>
    <xf numFmtId="0" fontId="11" fillId="35" borderId="0" xfId="0" applyFont="1" applyFill="1" applyBorder="1" applyAlignment="1">
      <alignment horizontal="center" vertical="center" wrapText="1"/>
    </xf>
    <xf numFmtId="188" fontId="41" fillId="35" borderId="0" xfId="0" applyNumberFormat="1" applyFont="1" applyFill="1" applyBorder="1" applyAlignment="1">
      <alignment horizontal="center" vertical="center" wrapText="1"/>
    </xf>
    <xf numFmtId="188" fontId="16" fillId="35" borderId="0" xfId="0" applyNumberFormat="1" applyFont="1" applyFill="1" applyAlignment="1">
      <alignment horizontal="center" vertical="center" wrapText="1"/>
    </xf>
    <xf numFmtId="0" fontId="16" fillId="35" borderId="0" xfId="0" applyFont="1" applyFill="1" applyAlignment="1">
      <alignment horizontal="center" vertical="center" wrapText="1"/>
    </xf>
    <xf numFmtId="3" fontId="16" fillId="35" borderId="0" xfId="0" applyNumberFormat="1" applyFont="1" applyFill="1" applyAlignment="1">
      <alignment horizontal="center" vertical="center" wrapText="1"/>
    </xf>
    <xf numFmtId="189" fontId="41" fillId="35" borderId="0" xfId="0" applyNumberFormat="1" applyFont="1" applyFill="1" applyBorder="1" applyAlignment="1">
      <alignment horizontal="center" vertical="center" wrapText="1"/>
    </xf>
    <xf numFmtId="179" fontId="41" fillId="35" borderId="0" xfId="0" applyNumberFormat="1" applyFont="1" applyFill="1" applyAlignment="1">
      <alignment horizontal="center" vertical="center" wrapText="1"/>
    </xf>
    <xf numFmtId="49" fontId="11" fillId="35" borderId="10" xfId="0" applyNumberFormat="1" applyFont="1" applyFill="1" applyBorder="1" applyAlignment="1">
      <alignment horizontal="left" vertical="center" wrapText="1"/>
    </xf>
    <xf numFmtId="3" fontId="3" fillId="35" borderId="10" xfId="42" applyNumberFormat="1" applyFont="1" applyFill="1" applyBorder="1" applyAlignment="1" applyProtection="1">
      <alignment horizontal="right" vertical="center" wrapText="1"/>
      <protection/>
    </xf>
    <xf numFmtId="3" fontId="11" fillId="35" borderId="10" xfId="42" applyNumberFormat="1" applyFont="1" applyFill="1" applyBorder="1" applyAlignment="1" applyProtection="1">
      <alignment horizontal="right" vertical="center" wrapText="1"/>
      <protection/>
    </xf>
    <xf numFmtId="3" fontId="11" fillId="35" borderId="0" xfId="42" applyNumberFormat="1" applyFont="1" applyFill="1" applyBorder="1" applyAlignment="1" applyProtection="1">
      <alignment horizontal="right" vertical="center" wrapText="1"/>
      <protection/>
    </xf>
    <xf numFmtId="188" fontId="41" fillId="35" borderId="0" xfId="0" applyNumberFormat="1" applyFont="1" applyFill="1" applyBorder="1" applyAlignment="1">
      <alignment/>
    </xf>
    <xf numFmtId="3" fontId="16" fillId="35" borderId="0" xfId="0" applyNumberFormat="1" applyFont="1" applyFill="1" applyAlignment="1">
      <alignment/>
    </xf>
    <xf numFmtId="0" fontId="16" fillId="35" borderId="0" xfId="0" applyFont="1" applyFill="1" applyAlignment="1">
      <alignment/>
    </xf>
    <xf numFmtId="3" fontId="3" fillId="35" borderId="10" xfId="0" applyNumberFormat="1" applyFont="1" applyFill="1" applyBorder="1" applyAlignment="1">
      <alignment horizontal="right" vertical="center" wrapText="1"/>
    </xf>
    <xf numFmtId="0" fontId="41" fillId="35" borderId="0" xfId="0" applyFont="1" applyFill="1" applyBorder="1" applyAlignment="1">
      <alignment/>
    </xf>
    <xf numFmtId="0" fontId="3" fillId="35" borderId="10" xfId="0" applyFont="1" applyFill="1" applyBorder="1" applyAlignment="1">
      <alignment horizontal="center" vertical="center" wrapText="1"/>
    </xf>
    <xf numFmtId="49" fontId="3" fillId="35" borderId="10" xfId="0" applyNumberFormat="1" applyFont="1" applyFill="1" applyBorder="1" applyAlignment="1">
      <alignment horizontal="left" vertical="center" wrapText="1"/>
    </xf>
    <xf numFmtId="3" fontId="11" fillId="35" borderId="13" xfId="42" applyNumberFormat="1" applyFont="1" applyFill="1" applyBorder="1" applyAlignment="1" applyProtection="1">
      <alignment horizontal="right" vertical="center" wrapText="1"/>
      <protection/>
    </xf>
    <xf numFmtId="188" fontId="41" fillId="35" borderId="13" xfId="42" applyNumberFormat="1" applyFont="1" applyFill="1" applyBorder="1" applyAlignment="1">
      <alignment/>
    </xf>
    <xf numFmtId="0" fontId="23" fillId="35" borderId="10" xfId="0" applyFont="1" applyFill="1" applyBorder="1" applyAlignment="1">
      <alignment horizontal="center" vertical="center" wrapText="1"/>
    </xf>
    <xf numFmtId="49" fontId="23" fillId="35" borderId="10" xfId="0" applyNumberFormat="1" applyFont="1" applyFill="1" applyBorder="1" applyAlignment="1" quotePrefix="1">
      <alignment horizontal="left" vertical="center" wrapText="1"/>
    </xf>
    <xf numFmtId="3" fontId="23" fillId="35" borderId="10" xfId="42" applyNumberFormat="1" applyFont="1" applyFill="1" applyBorder="1" applyAlignment="1" applyProtection="1">
      <alignment horizontal="right" vertical="center" wrapText="1"/>
      <protection/>
    </xf>
    <xf numFmtId="0" fontId="16" fillId="35" borderId="0" xfId="0" applyFont="1" applyFill="1" applyBorder="1" applyAlignment="1">
      <alignment/>
    </xf>
    <xf numFmtId="3" fontId="11" fillId="35" borderId="13" xfId="42" applyNumberFormat="1" applyFont="1" applyFill="1" applyBorder="1" applyAlignment="1" applyProtection="1">
      <alignment wrapText="1"/>
      <protection/>
    </xf>
    <xf numFmtId="3" fontId="42" fillId="35" borderId="0" xfId="0" applyNumberFormat="1" applyFont="1" applyFill="1" applyBorder="1" applyAlignment="1">
      <alignment/>
    </xf>
    <xf numFmtId="0" fontId="42" fillId="35" borderId="0" xfId="0" applyFont="1" applyFill="1" applyAlignment="1">
      <alignment/>
    </xf>
    <xf numFmtId="49" fontId="23" fillId="35" borderId="10" xfId="0" applyNumberFormat="1" applyFont="1" applyFill="1" applyBorder="1" applyAlignment="1">
      <alignment horizontal="left" vertical="center" wrapText="1"/>
    </xf>
    <xf numFmtId="3" fontId="20" fillId="35" borderId="10" xfId="42" applyNumberFormat="1" applyFont="1" applyFill="1" applyBorder="1" applyAlignment="1" applyProtection="1">
      <alignment horizontal="right" vertical="center" wrapText="1"/>
      <protection/>
    </xf>
    <xf numFmtId="0" fontId="42" fillId="35" borderId="0" xfId="0" applyFont="1" applyFill="1" applyBorder="1" applyAlignment="1">
      <alignment/>
    </xf>
    <xf numFmtId="49" fontId="20" fillId="35" borderId="10" xfId="0" applyNumberFormat="1" applyFont="1" applyFill="1" applyBorder="1" applyAlignment="1">
      <alignment horizontal="left" vertical="center" wrapText="1"/>
    </xf>
    <xf numFmtId="188" fontId="41" fillId="35" borderId="0" xfId="42" applyNumberFormat="1" applyFont="1" applyFill="1" applyBorder="1" applyAlignment="1">
      <alignment/>
    </xf>
    <xf numFmtId="3" fontId="43" fillId="35" borderId="10" xfId="42" applyNumberFormat="1" applyFont="1" applyFill="1" applyBorder="1" applyAlignment="1" applyProtection="1">
      <alignment horizontal="right" vertical="center" wrapText="1"/>
      <protection/>
    </xf>
    <xf numFmtId="0" fontId="41" fillId="35" borderId="0" xfId="0" applyFont="1" applyFill="1" applyAlignment="1">
      <alignment/>
    </xf>
    <xf numFmtId="3" fontId="41" fillId="35" borderId="0" xfId="0" applyNumberFormat="1" applyFont="1" applyFill="1" applyAlignment="1">
      <alignment/>
    </xf>
    <xf numFmtId="3" fontId="16" fillId="35" borderId="0" xfId="0" applyNumberFormat="1" applyFont="1" applyFill="1" applyBorder="1" applyAlignment="1">
      <alignment/>
    </xf>
    <xf numFmtId="49" fontId="20" fillId="35" borderId="10" xfId="0" applyNumberFormat="1" applyFont="1" applyFill="1" applyBorder="1" applyAlignment="1" quotePrefix="1">
      <alignment horizontal="left" vertical="center" wrapText="1"/>
    </xf>
    <xf numFmtId="185" fontId="16" fillId="35" borderId="0" xfId="0" applyNumberFormat="1" applyFont="1" applyFill="1" applyBorder="1" applyAlignment="1">
      <alignment/>
    </xf>
    <xf numFmtId="3" fontId="4" fillId="35" borderId="10" xfId="42" applyNumberFormat="1" applyFont="1" applyFill="1" applyBorder="1" applyAlignment="1" applyProtection="1">
      <alignment horizontal="right" vertical="center" wrapText="1"/>
      <protection/>
    </xf>
    <xf numFmtId="3" fontId="4" fillId="35" borderId="0" xfId="42" applyNumberFormat="1" applyFont="1" applyFill="1" applyBorder="1" applyAlignment="1" applyProtection="1">
      <alignment horizontal="right" vertical="center" wrapText="1"/>
      <protection/>
    </xf>
    <xf numFmtId="0" fontId="44" fillId="35" borderId="0" xfId="0" applyFont="1" applyFill="1" applyAlignment="1">
      <alignment/>
    </xf>
    <xf numFmtId="3" fontId="45" fillId="35" borderId="10" xfId="42" applyNumberFormat="1" applyFont="1" applyFill="1" applyBorder="1" applyAlignment="1" applyProtection="1">
      <alignment horizontal="right" vertical="center" wrapText="1"/>
      <protection/>
    </xf>
    <xf numFmtId="3" fontId="34" fillId="35" borderId="10" xfId="42" applyNumberFormat="1" applyFont="1" applyFill="1" applyBorder="1" applyAlignment="1" applyProtection="1">
      <alignment horizontal="right" vertical="center" wrapText="1"/>
      <protection/>
    </xf>
    <xf numFmtId="3" fontId="34" fillId="35" borderId="0" xfId="42" applyNumberFormat="1" applyFont="1" applyFill="1" applyBorder="1" applyAlignment="1" applyProtection="1">
      <alignment horizontal="right" vertical="center" wrapText="1"/>
      <protection/>
    </xf>
    <xf numFmtId="3" fontId="44" fillId="35" borderId="0" xfId="0" applyNumberFormat="1" applyFont="1" applyFill="1" applyAlignment="1">
      <alignment/>
    </xf>
    <xf numFmtId="49" fontId="34" fillId="35" borderId="10" xfId="0" applyNumberFormat="1" applyFont="1" applyFill="1" applyBorder="1" applyAlignment="1">
      <alignment horizontal="left" vertical="center" wrapText="1"/>
    </xf>
    <xf numFmtId="183" fontId="20" fillId="35" borderId="10" xfId="0" applyNumberFormat="1" applyFont="1" applyFill="1" applyBorder="1" applyAlignment="1">
      <alignment horizontal="right" vertical="center" wrapText="1"/>
    </xf>
    <xf numFmtId="0" fontId="20" fillId="35" borderId="10" xfId="0" applyFont="1" applyFill="1" applyBorder="1" applyAlignment="1">
      <alignment horizontal="right" vertical="center" wrapText="1"/>
    </xf>
    <xf numFmtId="3" fontId="17" fillId="35" borderId="10" xfId="71" applyNumberFormat="1" applyFont="1" applyFill="1" applyBorder="1" applyAlignment="1">
      <alignment horizontal="left" vertical="center" wrapText="1"/>
      <protection/>
    </xf>
    <xf numFmtId="3" fontId="17" fillId="35" borderId="10" xfId="0" applyNumberFormat="1" applyFont="1" applyFill="1" applyBorder="1" applyAlignment="1">
      <alignment horizontal="left" vertical="center" wrapText="1"/>
    </xf>
    <xf numFmtId="0" fontId="16" fillId="35" borderId="10" xfId="0" applyFont="1" applyFill="1" applyBorder="1" applyAlignment="1">
      <alignment/>
    </xf>
    <xf numFmtId="0" fontId="4" fillId="35" borderId="10" xfId="0" applyFont="1" applyFill="1" applyBorder="1" applyAlignment="1">
      <alignment horizontal="center" vertical="center" wrapText="1"/>
    </xf>
    <xf numFmtId="0" fontId="4" fillId="35" borderId="10" xfId="0" applyFont="1" applyFill="1" applyBorder="1" applyAlignment="1" quotePrefix="1">
      <alignment horizontal="left" vertical="center" wrapText="1"/>
    </xf>
    <xf numFmtId="183" fontId="4" fillId="35" borderId="10" xfId="0" applyNumberFormat="1" applyFont="1" applyFill="1" applyBorder="1" applyAlignment="1">
      <alignment horizontal="right" vertical="center" wrapText="1"/>
    </xf>
    <xf numFmtId="0" fontId="4" fillId="35" borderId="0" xfId="0" applyFont="1" applyFill="1" applyAlignment="1">
      <alignment horizontal="center"/>
    </xf>
    <xf numFmtId="49" fontId="16" fillId="35" borderId="0" xfId="0" applyNumberFormat="1" applyFont="1" applyFill="1" applyAlignment="1">
      <alignment/>
    </xf>
    <xf numFmtId="49" fontId="7" fillId="35" borderId="10" xfId="0" applyNumberFormat="1" applyFont="1" applyFill="1" applyBorder="1" applyAlignment="1">
      <alignment horizontal="left" vertical="center" wrapText="1"/>
    </xf>
    <xf numFmtId="0" fontId="7" fillId="35" borderId="10" xfId="0" applyFont="1" applyFill="1" applyBorder="1" applyAlignment="1">
      <alignment vertical="center"/>
    </xf>
    <xf numFmtId="180" fontId="7" fillId="35" borderId="10" xfId="0" applyNumberFormat="1" applyFont="1" applyFill="1" applyBorder="1" applyAlignment="1">
      <alignment vertical="center"/>
    </xf>
    <xf numFmtId="3" fontId="7" fillId="35" borderId="10" xfId="0" applyNumberFormat="1" applyFont="1" applyFill="1" applyBorder="1" applyAlignment="1">
      <alignment horizontal="right" vertical="center"/>
    </xf>
    <xf numFmtId="0" fontId="11" fillId="35" borderId="0" xfId="0" applyFont="1" applyFill="1" applyAlignment="1">
      <alignment vertical="center"/>
    </xf>
    <xf numFmtId="0" fontId="5" fillId="0" borderId="0" xfId="0" applyFont="1" applyFill="1" applyBorder="1" applyAlignment="1">
      <alignment horizontal="center" vertical="center"/>
    </xf>
    <xf numFmtId="0" fontId="5" fillId="33" borderId="0" xfId="0" applyFont="1" applyFill="1" applyBorder="1" applyAlignment="1">
      <alignment horizontal="center" vertical="center"/>
    </xf>
    <xf numFmtId="0" fontId="11" fillId="0" borderId="10" xfId="0" applyFont="1" applyFill="1" applyBorder="1" applyAlignment="1">
      <alignment horizontal="center" vertical="center"/>
    </xf>
    <xf numFmtId="0" fontId="5" fillId="0" borderId="16" xfId="0" applyFont="1" applyFill="1" applyBorder="1" applyAlignment="1">
      <alignment horizontal="center" vertical="center" wrapText="1"/>
    </xf>
    <xf numFmtId="3" fontId="15" fillId="0" borderId="10" xfId="73" applyNumberFormat="1" applyFont="1" applyFill="1" applyBorder="1" applyAlignment="1">
      <alignment horizontal="center" vertical="center" wrapText="1"/>
      <protection/>
    </xf>
    <xf numFmtId="0" fontId="5" fillId="0" borderId="0" xfId="0" applyFont="1" applyFill="1" applyAlignment="1">
      <alignment vertical="center"/>
    </xf>
    <xf numFmtId="0" fontId="38" fillId="0" borderId="0" xfId="0" applyFont="1" applyFill="1" applyAlignment="1">
      <alignment vertical="center"/>
    </xf>
    <xf numFmtId="180" fontId="23" fillId="0" borderId="0" xfId="42" applyNumberFormat="1" applyFont="1" applyFill="1" applyAlignment="1">
      <alignment vertical="center"/>
    </xf>
    <xf numFmtId="0" fontId="41" fillId="0" borderId="0" xfId="0" applyFont="1" applyFill="1" applyAlignment="1">
      <alignment vertical="center"/>
    </xf>
    <xf numFmtId="0" fontId="0" fillId="0" borderId="0" xfId="0" applyFont="1" applyFill="1" applyAlignment="1">
      <alignment vertical="center"/>
    </xf>
    <xf numFmtId="3" fontId="46" fillId="0" borderId="0" xfId="0" applyNumberFormat="1" applyFont="1" applyFill="1" applyAlignment="1">
      <alignment vertical="center"/>
    </xf>
    <xf numFmtId="181" fontId="5" fillId="33"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3" fontId="5" fillId="33" borderId="10" xfId="42" applyNumberFormat="1" applyFont="1" applyFill="1" applyBorder="1" applyAlignment="1" applyProtection="1">
      <alignment vertical="center" wrapText="1"/>
      <protection/>
    </xf>
    <xf numFmtId="3" fontId="11" fillId="0" borderId="10" xfId="42" applyNumberFormat="1" applyFont="1" applyFill="1" applyBorder="1" applyAlignment="1" applyProtection="1">
      <alignment vertical="center" wrapText="1"/>
      <protection/>
    </xf>
    <xf numFmtId="3" fontId="4" fillId="0" borderId="10" xfId="42" applyNumberFormat="1" applyFont="1" applyFill="1" applyBorder="1" applyAlignment="1" applyProtection="1">
      <alignment vertical="center" wrapText="1"/>
      <protection/>
    </xf>
    <xf numFmtId="0" fontId="33" fillId="0" borderId="10" xfId="0" applyFont="1" applyFill="1" applyBorder="1" applyAlignment="1">
      <alignment vertical="center" wrapText="1"/>
    </xf>
    <xf numFmtId="180" fontId="5" fillId="0" borderId="10" xfId="42" applyNumberFormat="1" applyFont="1" applyFill="1" applyBorder="1" applyAlignment="1" applyProtection="1">
      <alignment horizontal="right" vertical="center" wrapText="1"/>
      <protection/>
    </xf>
    <xf numFmtId="180" fontId="33" fillId="33" borderId="10" xfId="42" applyNumberFormat="1" applyFont="1" applyFill="1" applyBorder="1" applyAlignment="1" applyProtection="1">
      <alignment horizontal="right" vertical="center" wrapText="1"/>
      <protection/>
    </xf>
    <xf numFmtId="180" fontId="34" fillId="0" borderId="10" xfId="42" applyNumberFormat="1" applyFont="1" applyFill="1" applyBorder="1" applyAlignment="1" applyProtection="1">
      <alignment horizontal="right" vertical="center" wrapText="1"/>
      <protection/>
    </xf>
    <xf numFmtId="180" fontId="11" fillId="0" borderId="10" xfId="42" applyNumberFormat="1" applyFont="1" applyFill="1" applyBorder="1" applyAlignment="1" applyProtection="1">
      <alignment horizontal="right" vertical="center" wrapText="1"/>
      <protection/>
    </xf>
    <xf numFmtId="0" fontId="25" fillId="0" borderId="10" xfId="0" applyFont="1" applyFill="1" applyBorder="1" applyAlignment="1">
      <alignment vertical="center" wrapText="1"/>
    </xf>
    <xf numFmtId="180" fontId="25" fillId="0" borderId="10" xfId="42" applyNumberFormat="1" applyFont="1" applyFill="1" applyBorder="1" applyAlignment="1" applyProtection="1">
      <alignment horizontal="right" vertical="center" wrapText="1"/>
      <protection/>
    </xf>
    <xf numFmtId="180" fontId="25" fillId="33" borderId="10" xfId="42" applyNumberFormat="1" applyFont="1" applyFill="1" applyBorder="1" applyAlignment="1" applyProtection="1">
      <alignment horizontal="right" vertical="center" wrapText="1"/>
      <protection/>
    </xf>
    <xf numFmtId="180" fontId="4" fillId="0" borderId="10" xfId="42" applyNumberFormat="1" applyFont="1" applyFill="1" applyBorder="1" applyAlignment="1" applyProtection="1">
      <alignment horizontal="right" vertical="center" wrapText="1"/>
      <protection/>
    </xf>
    <xf numFmtId="0" fontId="47" fillId="0" borderId="0" xfId="0" applyFont="1" applyFill="1" applyAlignment="1">
      <alignment vertical="center"/>
    </xf>
    <xf numFmtId="3" fontId="25" fillId="33" borderId="10" xfId="42" applyNumberFormat="1" applyFont="1" applyFill="1" applyBorder="1" applyAlignment="1" applyProtection="1">
      <alignment vertical="center" wrapText="1"/>
      <protection/>
    </xf>
    <xf numFmtId="0" fontId="33" fillId="0" borderId="10" xfId="0" applyFont="1" applyFill="1" applyBorder="1" applyAlignment="1">
      <alignment horizontal="center" vertical="center" wrapText="1"/>
    </xf>
    <xf numFmtId="0" fontId="33" fillId="0" borderId="10" xfId="0" applyFont="1" applyFill="1" applyBorder="1" applyAlignment="1">
      <alignment vertical="center"/>
    </xf>
    <xf numFmtId="3" fontId="33" fillId="33" borderId="10" xfId="0" applyNumberFormat="1" applyFont="1" applyFill="1" applyBorder="1" applyAlignment="1">
      <alignment vertical="center"/>
    </xf>
    <xf numFmtId="180" fontId="33" fillId="0" borderId="10" xfId="42" applyNumberFormat="1" applyFont="1" applyFill="1" applyBorder="1" applyAlignment="1">
      <alignment horizontal="right" vertical="center" wrapText="1"/>
    </xf>
    <xf numFmtId="3" fontId="33" fillId="33" borderId="10" xfId="42" applyNumberFormat="1" applyFont="1" applyFill="1" applyBorder="1" applyAlignment="1" applyProtection="1">
      <alignment vertical="center" wrapText="1"/>
      <protection/>
    </xf>
    <xf numFmtId="3" fontId="4" fillId="0" borderId="13" xfId="42" applyNumberFormat="1" applyFont="1" applyFill="1" applyBorder="1" applyAlignment="1" applyProtection="1">
      <alignment vertical="center" wrapText="1"/>
      <protection/>
    </xf>
    <xf numFmtId="0" fontId="33" fillId="0" borderId="10" xfId="0" applyFont="1" applyFill="1" applyBorder="1" applyAlignment="1">
      <alignment horizontal="justify" vertical="center" wrapText="1"/>
    </xf>
    <xf numFmtId="0" fontId="4" fillId="0" borderId="10" xfId="0" applyFont="1" applyFill="1" applyBorder="1" applyAlignment="1">
      <alignment vertical="center"/>
    </xf>
    <xf numFmtId="183" fontId="4" fillId="0" borderId="10" xfId="0" applyNumberFormat="1" applyFont="1" applyFill="1" applyBorder="1" applyAlignment="1">
      <alignment vertical="center" wrapText="1"/>
    </xf>
    <xf numFmtId="183" fontId="31" fillId="0" borderId="10" xfId="0" applyNumberFormat="1" applyFont="1" applyFill="1" applyBorder="1" applyAlignment="1">
      <alignment vertical="center" wrapText="1"/>
    </xf>
    <xf numFmtId="190" fontId="8" fillId="0" borderId="17" xfId="48" applyNumberFormat="1" applyFont="1" applyFill="1" applyBorder="1" applyAlignment="1">
      <alignment horizontal="center" vertical="center"/>
    </xf>
    <xf numFmtId="190" fontId="8" fillId="0" borderId="17" xfId="48" applyNumberFormat="1" applyFont="1" applyBorder="1" applyAlignment="1">
      <alignment horizontal="center" vertical="center"/>
    </xf>
    <xf numFmtId="190" fontId="10" fillId="0" borderId="17" xfId="48" applyNumberFormat="1" applyFont="1" applyBorder="1" applyAlignment="1">
      <alignment horizontal="center" vertical="center"/>
    </xf>
    <xf numFmtId="190" fontId="10" fillId="0" borderId="17" xfId="48" applyNumberFormat="1" applyFont="1" applyFill="1" applyBorder="1" applyAlignment="1">
      <alignment horizontal="center" vertical="center"/>
    </xf>
    <xf numFmtId="180" fontId="12" fillId="0" borderId="17" xfId="42" applyNumberFormat="1" applyFont="1" applyBorder="1" applyAlignment="1">
      <alignment horizontal="center" vertical="center"/>
    </xf>
    <xf numFmtId="190" fontId="10" fillId="33" borderId="17" xfId="48" applyNumberFormat="1" applyFont="1" applyFill="1" applyBorder="1" applyAlignment="1">
      <alignment horizontal="center" vertical="center"/>
    </xf>
    <xf numFmtId="190" fontId="8" fillId="33" borderId="17" xfId="48" applyNumberFormat="1" applyFont="1" applyFill="1" applyBorder="1" applyAlignment="1">
      <alignment horizontal="center" vertical="center"/>
    </xf>
    <xf numFmtId="0" fontId="52" fillId="33" borderId="0" xfId="69" applyFont="1" applyFill="1" applyAlignment="1">
      <alignment horizontal="center" vertical="center"/>
      <protection/>
    </xf>
    <xf numFmtId="0" fontId="11" fillId="33" borderId="0" xfId="0" applyFont="1" applyFill="1" applyAlignment="1">
      <alignment horizontal="center" vertical="center"/>
    </xf>
    <xf numFmtId="0" fontId="3" fillId="33" borderId="0" xfId="0" applyFont="1" applyFill="1" applyAlignment="1">
      <alignment horizontal="center" vertical="center"/>
    </xf>
    <xf numFmtId="0" fontId="9" fillId="33" borderId="0" xfId="69" applyFont="1" applyFill="1" applyAlignment="1">
      <alignment horizontal="center" vertical="center"/>
      <protection/>
    </xf>
    <xf numFmtId="190" fontId="9" fillId="33" borderId="0" xfId="48" applyNumberFormat="1" applyFont="1" applyFill="1" applyAlignment="1">
      <alignment horizontal="center" vertical="center"/>
    </xf>
    <xf numFmtId="0" fontId="24" fillId="33" borderId="0" xfId="69" applyFont="1" applyFill="1" applyAlignment="1">
      <alignment vertical="center"/>
      <protection/>
    </xf>
    <xf numFmtId="0" fontId="24" fillId="33" borderId="0" xfId="69" applyFont="1" applyFill="1" applyAlignment="1">
      <alignment horizontal="center" vertical="center"/>
      <protection/>
    </xf>
    <xf numFmtId="190" fontId="3" fillId="33" borderId="0" xfId="48" applyNumberFormat="1" applyFont="1" applyFill="1" applyAlignment="1">
      <alignment horizontal="center" vertical="center"/>
    </xf>
    <xf numFmtId="190" fontId="11" fillId="33" borderId="0" xfId="48" applyNumberFormat="1" applyFont="1" applyFill="1" applyAlignment="1">
      <alignment horizontal="center" vertical="center"/>
    </xf>
    <xf numFmtId="190" fontId="52" fillId="33" borderId="0" xfId="48" applyNumberFormat="1" applyFont="1" applyFill="1" applyAlignment="1">
      <alignment horizontal="center" vertical="center"/>
    </xf>
    <xf numFmtId="3" fontId="33" fillId="33" borderId="0" xfId="66" applyNumberFormat="1" applyFont="1" applyFill="1" applyAlignment="1">
      <alignment horizontal="center" vertical="center"/>
      <protection/>
    </xf>
    <xf numFmtId="3" fontId="33" fillId="33" borderId="0" xfId="66" applyNumberFormat="1" applyFont="1" applyFill="1" applyAlignment="1">
      <alignment vertical="center"/>
      <protection/>
    </xf>
    <xf numFmtId="3" fontId="18" fillId="33" borderId="0" xfId="66" applyNumberFormat="1" applyFont="1" applyFill="1" applyAlignment="1">
      <alignment horizontal="center" vertical="center"/>
      <protection/>
    </xf>
    <xf numFmtId="190" fontId="24" fillId="33" borderId="0" xfId="48" applyNumberFormat="1" applyFont="1" applyFill="1" applyAlignment="1">
      <alignment horizontal="center" vertical="center"/>
    </xf>
    <xf numFmtId="0" fontId="52" fillId="33" borderId="10" xfId="69" applyFont="1" applyFill="1" applyBorder="1" applyAlignment="1">
      <alignment horizontal="center" vertical="center" wrapText="1"/>
      <protection/>
    </xf>
    <xf numFmtId="0" fontId="0" fillId="33" borderId="0" xfId="0" applyFont="1" applyFill="1" applyAlignment="1">
      <alignment vertical="center"/>
    </xf>
    <xf numFmtId="190" fontId="52" fillId="33" borderId="10" xfId="48" applyNumberFormat="1" applyFont="1" applyFill="1" applyBorder="1" applyAlignment="1">
      <alignment horizontal="center" vertical="center" wrapText="1"/>
    </xf>
    <xf numFmtId="0" fontId="24" fillId="33" borderId="10" xfId="69" applyFont="1" applyFill="1" applyBorder="1" applyAlignment="1">
      <alignment horizontal="center" vertical="center" wrapText="1"/>
      <protection/>
    </xf>
    <xf numFmtId="0" fontId="24" fillId="33" borderId="18" xfId="69" applyFont="1" applyFill="1" applyBorder="1" applyAlignment="1">
      <alignment horizontal="center" vertical="center" wrapText="1"/>
      <protection/>
    </xf>
    <xf numFmtId="0" fontId="8" fillId="33" borderId="19" xfId="69" applyFont="1" applyFill="1" applyBorder="1" applyAlignment="1">
      <alignment horizontal="center" vertical="center" wrapText="1"/>
      <protection/>
    </xf>
    <xf numFmtId="190" fontId="0" fillId="33" borderId="0" xfId="0" applyNumberFormat="1" applyFont="1" applyFill="1" applyAlignment="1">
      <alignment vertical="center"/>
    </xf>
    <xf numFmtId="0" fontId="8" fillId="33" borderId="17" xfId="69" applyFont="1" applyFill="1" applyBorder="1" applyAlignment="1">
      <alignment horizontal="center" vertical="center"/>
      <protection/>
    </xf>
    <xf numFmtId="0" fontId="8" fillId="33" borderId="17" xfId="69" applyFont="1" applyFill="1" applyBorder="1" applyAlignment="1">
      <alignment horizontal="left" vertical="center"/>
      <protection/>
    </xf>
    <xf numFmtId="0" fontId="8" fillId="33" borderId="17" xfId="69" applyFont="1" applyFill="1" applyBorder="1" applyAlignment="1">
      <alignment vertical="center"/>
      <protection/>
    </xf>
    <xf numFmtId="9" fontId="8" fillId="33" borderId="17" xfId="69" applyNumberFormat="1" applyFont="1" applyFill="1" applyBorder="1" applyAlignment="1">
      <alignment horizontal="center" vertical="center"/>
      <protection/>
    </xf>
    <xf numFmtId="0" fontId="10" fillId="33" borderId="17" xfId="69" applyFont="1" applyFill="1" applyBorder="1" applyAlignment="1">
      <alignment horizontal="center" vertical="center"/>
      <protection/>
    </xf>
    <xf numFmtId="0" fontId="10" fillId="33" borderId="17" xfId="69" applyFont="1" applyFill="1" applyBorder="1" applyAlignment="1">
      <alignment vertical="center"/>
      <protection/>
    </xf>
    <xf numFmtId="9" fontId="10" fillId="33" borderId="17" xfId="69" applyNumberFormat="1" applyFont="1" applyFill="1" applyBorder="1" applyAlignment="1">
      <alignment horizontal="center" vertical="center"/>
      <protection/>
    </xf>
    <xf numFmtId="180" fontId="10" fillId="0" borderId="17" xfId="42" applyNumberFormat="1" applyFont="1" applyBorder="1" applyAlignment="1">
      <alignment horizontal="center" vertical="center"/>
    </xf>
    <xf numFmtId="2" fontId="8" fillId="33" borderId="17" xfId="69" applyNumberFormat="1" applyFont="1" applyFill="1" applyBorder="1" applyAlignment="1">
      <alignment horizontal="center" vertical="center"/>
      <protection/>
    </xf>
    <xf numFmtId="0" fontId="8" fillId="33" borderId="17" xfId="69" applyFont="1" applyFill="1" applyBorder="1" applyAlignment="1">
      <alignment vertical="center" wrapText="1"/>
      <protection/>
    </xf>
    <xf numFmtId="188" fontId="8" fillId="33" borderId="17" xfId="42" applyNumberFormat="1" applyFont="1" applyFill="1" applyBorder="1" applyAlignment="1">
      <alignment horizontal="center" vertical="center"/>
    </xf>
    <xf numFmtId="0" fontId="10" fillId="33" borderId="17" xfId="69" applyFont="1" applyFill="1" applyBorder="1" applyAlignment="1" quotePrefix="1">
      <alignment horizontal="center" vertical="center"/>
      <protection/>
    </xf>
    <xf numFmtId="0" fontId="10" fillId="33" borderId="17" xfId="69" applyFont="1" applyFill="1" applyBorder="1" applyAlignment="1">
      <alignment vertical="center" wrapText="1"/>
      <protection/>
    </xf>
    <xf numFmtId="191" fontId="8" fillId="33" borderId="17" xfId="48" applyNumberFormat="1" applyFont="1" applyFill="1" applyBorder="1" applyAlignment="1">
      <alignment horizontal="center" vertical="center"/>
    </xf>
    <xf numFmtId="0" fontId="8" fillId="33" borderId="17" xfId="69" applyFont="1" applyFill="1" applyBorder="1" applyAlignment="1">
      <alignment horizontal="center" vertical="center" wrapText="1"/>
      <protection/>
    </xf>
    <xf numFmtId="0" fontId="8" fillId="33" borderId="17" xfId="69" applyFont="1" applyFill="1" applyBorder="1" applyAlignment="1">
      <alignment horizontal="left" vertical="center" wrapText="1"/>
      <protection/>
    </xf>
    <xf numFmtId="2" fontId="8" fillId="33" borderId="17" xfId="69" applyNumberFormat="1" applyFont="1" applyFill="1" applyBorder="1" applyAlignment="1">
      <alignment horizontal="center" vertical="center" wrapText="1"/>
      <protection/>
    </xf>
    <xf numFmtId="190" fontId="8" fillId="33" borderId="17" xfId="48" applyNumberFormat="1" applyFont="1" applyFill="1" applyBorder="1" applyAlignment="1">
      <alignment horizontal="center" vertical="center" wrapText="1"/>
    </xf>
    <xf numFmtId="2" fontId="10" fillId="33" borderId="17" xfId="69" applyNumberFormat="1" applyFont="1" applyFill="1" applyBorder="1" applyAlignment="1" quotePrefix="1">
      <alignment horizontal="center" vertical="center"/>
      <protection/>
    </xf>
    <xf numFmtId="0" fontId="8" fillId="33" borderId="20" xfId="69" applyFont="1" applyFill="1" applyBorder="1" applyAlignment="1">
      <alignment horizontal="center" vertical="center"/>
      <protection/>
    </xf>
    <xf numFmtId="0" fontId="8" fillId="33" borderId="20" xfId="69" applyFont="1" applyFill="1" applyBorder="1" applyAlignment="1">
      <alignment vertical="center"/>
      <protection/>
    </xf>
    <xf numFmtId="0" fontId="10" fillId="33" borderId="20" xfId="69" applyFont="1" applyFill="1" applyBorder="1" applyAlignment="1">
      <alignment horizontal="center" vertical="center"/>
      <protection/>
    </xf>
    <xf numFmtId="0" fontId="10" fillId="33" borderId="20" xfId="69" applyFont="1" applyFill="1" applyBorder="1" applyAlignment="1">
      <alignment vertical="center"/>
      <protection/>
    </xf>
    <xf numFmtId="190" fontId="10" fillId="33" borderId="20" xfId="48" applyNumberFormat="1" applyFont="1" applyFill="1" applyBorder="1" applyAlignment="1">
      <alignment horizontal="center" vertical="center"/>
    </xf>
    <xf numFmtId="190" fontId="8" fillId="33" borderId="20" xfId="48" applyNumberFormat="1" applyFont="1" applyFill="1" applyBorder="1" applyAlignment="1">
      <alignment horizontal="center" vertical="center"/>
    </xf>
    <xf numFmtId="0" fontId="10" fillId="33" borderId="18" xfId="69" applyFont="1" applyFill="1" applyBorder="1" applyAlignment="1">
      <alignment horizontal="center" vertical="center"/>
      <protection/>
    </xf>
    <xf numFmtId="0" fontId="10" fillId="33" borderId="18" xfId="69" applyFont="1" applyFill="1" applyBorder="1" applyAlignment="1">
      <alignment vertical="center"/>
      <protection/>
    </xf>
    <xf numFmtId="0" fontId="8" fillId="33" borderId="18" xfId="69" applyFont="1" applyFill="1" applyBorder="1" applyAlignment="1">
      <alignment horizontal="center" vertical="center"/>
      <protection/>
    </xf>
    <xf numFmtId="190" fontId="10" fillId="33" borderId="18" xfId="48" applyNumberFormat="1" applyFont="1" applyFill="1" applyBorder="1" applyAlignment="1">
      <alignment horizontal="center" vertical="center"/>
    </xf>
    <xf numFmtId="0" fontId="0" fillId="33" borderId="0" xfId="0" applyFont="1" applyFill="1" applyAlignment="1">
      <alignment horizontal="center" vertical="center"/>
    </xf>
    <xf numFmtId="190" fontId="0" fillId="33" borderId="0" xfId="0" applyNumberFormat="1" applyFont="1" applyFill="1" applyAlignment="1">
      <alignment horizontal="center" vertical="center"/>
    </xf>
    <xf numFmtId="3" fontId="0" fillId="33" borderId="0" xfId="0" applyNumberFormat="1" applyFont="1" applyFill="1" applyAlignment="1">
      <alignment horizontal="center" vertical="center"/>
    </xf>
    <xf numFmtId="0" fontId="9" fillId="0" borderId="0" xfId="0" applyFont="1" applyAlignment="1">
      <alignment/>
    </xf>
    <xf numFmtId="0" fontId="12" fillId="0" borderId="0" xfId="0" applyFont="1" applyAlignment="1">
      <alignment/>
    </xf>
    <xf numFmtId="0" fontId="12" fillId="0" borderId="0" xfId="0" applyFont="1" applyFill="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center"/>
    </xf>
    <xf numFmtId="0" fontId="5" fillId="0" borderId="0" xfId="0" applyFont="1" applyFill="1" applyAlignment="1">
      <alignment/>
    </xf>
    <xf numFmtId="183" fontId="12" fillId="0" borderId="0" xfId="0" applyNumberFormat="1" applyFont="1" applyAlignment="1">
      <alignment/>
    </xf>
    <xf numFmtId="0" fontId="25" fillId="0" borderId="11" xfId="0" applyFont="1" applyBorder="1" applyAlignment="1">
      <alignment/>
    </xf>
    <xf numFmtId="0" fontId="10" fillId="0" borderId="0" xfId="0" applyFont="1" applyAlignment="1">
      <alignment/>
    </xf>
    <xf numFmtId="0" fontId="25" fillId="0" borderId="0" xfId="0" applyFont="1" applyBorder="1" applyAlignment="1">
      <alignment horizontal="center"/>
    </xf>
    <xf numFmtId="0" fontId="25" fillId="0" borderId="0" xfId="0" applyFont="1" applyBorder="1" applyAlignment="1">
      <alignment/>
    </xf>
    <xf numFmtId="0" fontId="11"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3" fillId="0" borderId="10" xfId="0" applyFont="1" applyBorder="1" applyAlignment="1">
      <alignment horizontal="center" vertical="center" wrapText="1"/>
    </xf>
    <xf numFmtId="9" fontId="23" fillId="0" borderId="10"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9" fontId="23" fillId="0" borderId="15" xfId="0" applyNumberFormat="1" applyFont="1" applyFill="1" applyBorder="1" applyAlignment="1">
      <alignment vertical="center" wrapText="1"/>
    </xf>
    <xf numFmtId="9" fontId="23" fillId="0" borderId="10" xfId="0" applyNumberFormat="1" applyFont="1" applyFill="1" applyBorder="1" applyAlignment="1">
      <alignment vertical="center" wrapText="1"/>
    </xf>
    <xf numFmtId="0" fontId="9" fillId="0" borderId="10" xfId="0" applyFont="1" applyBorder="1" applyAlignment="1">
      <alignment/>
    </xf>
    <xf numFmtId="0" fontId="12" fillId="0" borderId="10" xfId="0" applyFont="1" applyBorder="1" applyAlignment="1">
      <alignment horizontal="center" vertical="center" wrapText="1"/>
    </xf>
    <xf numFmtId="0" fontId="12" fillId="0" borderId="10" xfId="0" applyFont="1" applyBorder="1" applyAlignment="1">
      <alignment/>
    </xf>
    <xf numFmtId="3" fontId="5" fillId="0" borderId="10" xfId="0" applyNumberFormat="1" applyFont="1" applyBorder="1" applyAlignment="1">
      <alignment horizontal="center"/>
    </xf>
    <xf numFmtId="3" fontId="11" fillId="0" borderId="10" xfId="0" applyNumberFormat="1" applyFont="1" applyBorder="1" applyAlignment="1">
      <alignment/>
    </xf>
    <xf numFmtId="3" fontId="11" fillId="0" borderId="10" xfId="0" applyNumberFormat="1" applyFont="1" applyBorder="1" applyAlignment="1">
      <alignment horizontal="right"/>
    </xf>
    <xf numFmtId="3" fontId="11" fillId="0" borderId="10" xfId="0" applyNumberFormat="1" applyFont="1" applyFill="1" applyBorder="1" applyAlignment="1">
      <alignment horizontal="right"/>
    </xf>
    <xf numFmtId="3" fontId="4" fillId="0" borderId="10" xfId="0" applyNumberFormat="1" applyFont="1" applyBorder="1" applyAlignment="1">
      <alignment horizontal="center"/>
    </xf>
    <xf numFmtId="183" fontId="4" fillId="0" borderId="10" xfId="0" applyNumberFormat="1" applyFont="1" applyFill="1" applyBorder="1" applyAlignment="1">
      <alignment horizontal="right"/>
    </xf>
    <xf numFmtId="3" fontId="4" fillId="0" borderId="10" xfId="0" applyNumberFormat="1" applyFont="1" applyFill="1" applyBorder="1" applyAlignment="1">
      <alignment horizontal="right"/>
    </xf>
    <xf numFmtId="3" fontId="4" fillId="0" borderId="10" xfId="0" applyNumberFormat="1" applyFont="1" applyBorder="1" applyAlignment="1">
      <alignment/>
    </xf>
    <xf numFmtId="3" fontId="4" fillId="0" borderId="10" xfId="42" applyNumberFormat="1" applyFont="1" applyFill="1" applyBorder="1" applyAlignment="1">
      <alignment/>
    </xf>
    <xf numFmtId="3" fontId="4" fillId="0" borderId="10" xfId="42" applyNumberFormat="1" applyFont="1" applyFill="1" applyBorder="1" applyAlignment="1">
      <alignment/>
    </xf>
    <xf numFmtId="3" fontId="11" fillId="0" borderId="10" xfId="42" applyNumberFormat="1" applyFont="1" applyFill="1" applyBorder="1" applyAlignment="1">
      <alignment/>
    </xf>
    <xf numFmtId="3" fontId="4" fillId="0" borderId="10" xfId="42" applyNumberFormat="1" applyFont="1" applyBorder="1" applyAlignment="1">
      <alignment/>
    </xf>
    <xf numFmtId="3" fontId="11" fillId="0" borderId="10" xfId="42" applyNumberFormat="1" applyFont="1" applyBorder="1" applyAlignment="1">
      <alignment/>
    </xf>
    <xf numFmtId="188" fontId="4" fillId="0" borderId="10" xfId="42" applyNumberFormat="1" applyFont="1" applyBorder="1" applyAlignment="1">
      <alignment/>
    </xf>
    <xf numFmtId="3" fontId="4" fillId="0" borderId="0" xfId="0" applyNumberFormat="1" applyFont="1" applyAlignment="1">
      <alignment/>
    </xf>
    <xf numFmtId="0" fontId="4" fillId="0" borderId="0" xfId="0" applyFont="1" applyFill="1" applyAlignment="1">
      <alignment/>
    </xf>
    <xf numFmtId="3" fontId="4" fillId="33" borderId="10" xfId="42" applyNumberFormat="1" applyFont="1" applyFill="1" applyBorder="1" applyAlignment="1">
      <alignment/>
    </xf>
    <xf numFmtId="0" fontId="5" fillId="0" borderId="0" xfId="0" applyFont="1" applyAlignment="1">
      <alignment/>
    </xf>
    <xf numFmtId="0" fontId="54" fillId="0" borderId="0" xfId="0" applyFont="1" applyAlignment="1">
      <alignment/>
    </xf>
    <xf numFmtId="0" fontId="15" fillId="0" borderId="0" xfId="0" applyFont="1" applyAlignment="1">
      <alignment/>
    </xf>
    <xf numFmtId="3" fontId="15" fillId="0" borderId="0" xfId="0" applyNumberFormat="1" applyFont="1" applyFill="1" applyAlignment="1">
      <alignment/>
    </xf>
    <xf numFmtId="0" fontId="4" fillId="0" borderId="0" xfId="0" applyFont="1" applyFill="1" applyAlignment="1">
      <alignment/>
    </xf>
    <xf numFmtId="0" fontId="11" fillId="0" borderId="0" xfId="0" applyFont="1" applyAlignment="1">
      <alignment/>
    </xf>
    <xf numFmtId="0" fontId="12" fillId="0" borderId="0" xfId="0" applyFont="1" applyFill="1" applyAlignment="1">
      <alignment/>
    </xf>
    <xf numFmtId="0" fontId="4" fillId="0" borderId="0" xfId="66" applyFont="1" applyFill="1">
      <alignment/>
      <protection/>
    </xf>
    <xf numFmtId="0" fontId="3" fillId="0" borderId="0" xfId="66" applyFont="1" applyFill="1" applyAlignment="1">
      <alignment/>
      <protection/>
    </xf>
    <xf numFmtId="0" fontId="7" fillId="0" borderId="0" xfId="66" applyFont="1" applyFill="1" applyAlignment="1">
      <alignment/>
      <protection/>
    </xf>
    <xf numFmtId="0" fontId="9" fillId="0" borderId="0" xfId="66" applyFont="1" applyFill="1" applyAlignment="1">
      <alignment/>
      <protection/>
    </xf>
    <xf numFmtId="0" fontId="3" fillId="0" borderId="0" xfId="66" applyFont="1" applyFill="1" applyAlignment="1">
      <alignment horizontal="center"/>
      <protection/>
    </xf>
    <xf numFmtId="3" fontId="4" fillId="0" borderId="0" xfId="66" applyNumberFormat="1" applyFont="1" applyFill="1">
      <alignment/>
      <protection/>
    </xf>
    <xf numFmtId="3" fontId="11" fillId="0" borderId="0" xfId="66" applyNumberFormat="1" applyFont="1" applyFill="1" applyAlignment="1">
      <alignment/>
      <protection/>
    </xf>
    <xf numFmtId="3" fontId="11" fillId="0" borderId="0" xfId="66" applyNumberFormat="1" applyFont="1" applyFill="1" applyAlignment="1">
      <alignment horizontal="center"/>
      <protection/>
    </xf>
    <xf numFmtId="0" fontId="5" fillId="0" borderId="0" xfId="66" applyFont="1" applyFill="1" applyAlignment="1">
      <alignment horizontal="center"/>
      <protection/>
    </xf>
    <xf numFmtId="0" fontId="5" fillId="0" borderId="0" xfId="66" applyFont="1" applyFill="1" applyAlignment="1">
      <alignment/>
      <protection/>
    </xf>
    <xf numFmtId="3" fontId="5" fillId="0" borderId="0" xfId="66" applyNumberFormat="1" applyFont="1" applyFill="1" applyAlignment="1">
      <alignment horizontal="center"/>
      <protection/>
    </xf>
    <xf numFmtId="3" fontId="25" fillId="0" borderId="0" xfId="66" applyNumberFormat="1" applyFont="1" applyFill="1" applyAlignment="1">
      <alignment horizontal="center"/>
      <protection/>
    </xf>
    <xf numFmtId="0" fontId="25" fillId="0" borderId="0" xfId="66" applyFont="1" applyFill="1">
      <alignment/>
      <protection/>
    </xf>
    <xf numFmtId="3" fontId="25" fillId="0" borderId="0" xfId="66" applyNumberFormat="1" applyFont="1" applyFill="1">
      <alignment/>
      <protection/>
    </xf>
    <xf numFmtId="3" fontId="5" fillId="0" borderId="0" xfId="66" applyNumberFormat="1" applyFont="1" applyFill="1" applyAlignment="1">
      <alignment/>
      <protection/>
    </xf>
    <xf numFmtId="185" fontId="5" fillId="0" borderId="0" xfId="66" applyNumberFormat="1" applyFont="1" applyFill="1" applyAlignment="1">
      <alignment/>
      <protection/>
    </xf>
    <xf numFmtId="3" fontId="33" fillId="0" borderId="0" xfId="66" applyNumberFormat="1" applyFont="1" applyFill="1" applyAlignment="1">
      <alignment/>
      <protection/>
    </xf>
    <xf numFmtId="185" fontId="33" fillId="0" borderId="0" xfId="66" applyNumberFormat="1" applyFont="1" applyFill="1" applyAlignment="1">
      <alignment/>
      <protection/>
    </xf>
    <xf numFmtId="3" fontId="23" fillId="0" borderId="0" xfId="66" applyNumberFormat="1" applyFont="1" applyFill="1">
      <alignment/>
      <protection/>
    </xf>
    <xf numFmtId="3" fontId="3" fillId="0" borderId="0" xfId="66" applyNumberFormat="1" applyFont="1" applyFill="1">
      <alignment/>
      <protection/>
    </xf>
    <xf numFmtId="3" fontId="7" fillId="0" borderId="0" xfId="66" applyNumberFormat="1" applyFont="1" applyFill="1">
      <alignment/>
      <protection/>
    </xf>
    <xf numFmtId="3" fontId="9" fillId="0" borderId="0" xfId="66" applyNumberFormat="1" applyFont="1" applyFill="1">
      <alignment/>
      <protection/>
    </xf>
    <xf numFmtId="192" fontId="3" fillId="0" borderId="0" xfId="47" applyFont="1" applyFill="1" applyAlignment="1">
      <alignment/>
    </xf>
    <xf numFmtId="3" fontId="23" fillId="0" borderId="0" xfId="66" applyNumberFormat="1" applyFont="1" applyFill="1" applyAlignment="1">
      <alignment horizontal="center"/>
      <protection/>
    </xf>
    <xf numFmtId="3" fontId="23" fillId="0" borderId="0" xfId="66" applyNumberFormat="1" applyFont="1" applyFill="1" applyBorder="1" applyAlignment="1">
      <alignment horizontal="left"/>
      <protection/>
    </xf>
    <xf numFmtId="0" fontId="23" fillId="0" borderId="0" xfId="66" applyFont="1" applyFill="1">
      <alignment/>
      <protection/>
    </xf>
    <xf numFmtId="3" fontId="3" fillId="0" borderId="0" xfId="66" applyNumberFormat="1" applyFont="1" applyFill="1" applyAlignment="1">
      <alignment horizontal="justify" vertical="justify"/>
      <protection/>
    </xf>
    <xf numFmtId="3" fontId="23" fillId="0" borderId="0" xfId="66" applyNumberFormat="1" applyFont="1" applyFill="1" applyAlignment="1">
      <alignment horizontal="justify" vertical="justify"/>
      <protection/>
    </xf>
    <xf numFmtId="3" fontId="23" fillId="0" borderId="0" xfId="66" applyNumberFormat="1" applyFont="1" applyFill="1" applyBorder="1" applyAlignment="1">
      <alignment horizontal="center"/>
      <protection/>
    </xf>
    <xf numFmtId="3" fontId="34" fillId="0" borderId="0" xfId="66" applyNumberFormat="1" applyFont="1" applyFill="1" applyBorder="1" applyAlignment="1">
      <alignment horizontal="left"/>
      <protection/>
    </xf>
    <xf numFmtId="3" fontId="9" fillId="0" borderId="10" xfId="73" applyNumberFormat="1" applyFont="1" applyFill="1" applyBorder="1" applyAlignment="1">
      <alignment horizontal="center" vertical="center" wrapText="1"/>
      <protection/>
    </xf>
    <xf numFmtId="3" fontId="12" fillId="0" borderId="10" xfId="73" applyNumberFormat="1" applyFont="1" applyFill="1" applyBorder="1" applyAlignment="1">
      <alignment horizontal="center" vertical="center" wrapText="1"/>
      <protection/>
    </xf>
    <xf numFmtId="3" fontId="10" fillId="0" borderId="10" xfId="73" applyNumberFormat="1" applyFont="1" applyFill="1" applyBorder="1" applyAlignment="1">
      <alignment horizontal="center" vertical="center" wrapText="1"/>
      <protection/>
    </xf>
    <xf numFmtId="3" fontId="7" fillId="0" borderId="10" xfId="42" applyNumberFormat="1" applyFont="1" applyFill="1" applyBorder="1" applyAlignment="1">
      <alignment horizontal="right" vertical="center"/>
    </xf>
    <xf numFmtId="0" fontId="7" fillId="0" borderId="0" xfId="0" applyFont="1" applyAlignment="1">
      <alignment/>
    </xf>
    <xf numFmtId="179" fontId="15" fillId="0" borderId="10" xfId="42" applyFont="1" applyFill="1" applyBorder="1" applyAlignment="1">
      <alignment horizontal="center" vertical="center" wrapText="1"/>
    </xf>
    <xf numFmtId="3" fontId="9" fillId="33" borderId="10" xfId="73" applyNumberFormat="1" applyFont="1" applyFill="1" applyBorder="1" applyAlignment="1">
      <alignment horizontal="center" vertical="center" wrapText="1"/>
      <protection/>
    </xf>
    <xf numFmtId="3" fontId="7" fillId="33" borderId="10" xfId="42" applyNumberFormat="1" applyFont="1" applyFill="1" applyBorder="1" applyAlignment="1">
      <alignment horizontal="right" vertical="center"/>
    </xf>
    <xf numFmtId="3" fontId="7" fillId="33" borderId="15" xfId="42" applyNumberFormat="1" applyFont="1" applyFill="1" applyBorder="1" applyAlignment="1">
      <alignment horizontal="right" vertical="center"/>
    </xf>
    <xf numFmtId="3" fontId="15" fillId="0" borderId="18" xfId="42" applyNumberFormat="1" applyFont="1" applyFill="1" applyBorder="1" applyAlignment="1">
      <alignment horizontal="right" vertical="center"/>
    </xf>
    <xf numFmtId="3" fontId="7" fillId="0" borderId="18" xfId="42" applyNumberFormat="1" applyFont="1" applyFill="1" applyBorder="1" applyAlignment="1">
      <alignment horizontal="right" vertical="center"/>
    </xf>
    <xf numFmtId="0" fontId="15" fillId="0" borderId="0" xfId="0" applyFont="1" applyFill="1" applyAlignment="1">
      <alignment/>
    </xf>
    <xf numFmtId="3" fontId="7" fillId="0" borderId="0" xfId="73" applyNumberFormat="1" applyFont="1" applyFill="1" applyBorder="1" applyAlignment="1">
      <alignment horizontal="center" vertical="center" wrapText="1"/>
      <protection/>
    </xf>
    <xf numFmtId="3" fontId="7" fillId="0" borderId="0" xfId="73" applyNumberFormat="1" applyFont="1" applyFill="1" applyBorder="1" applyAlignment="1">
      <alignment horizontal="left" vertical="center" wrapText="1"/>
      <protection/>
    </xf>
    <xf numFmtId="3" fontId="9" fillId="0" borderId="0" xfId="73" applyNumberFormat="1" applyFont="1" applyFill="1" applyBorder="1" applyAlignment="1">
      <alignment horizontal="center" vertical="center" wrapText="1"/>
      <protection/>
    </xf>
    <xf numFmtId="3" fontId="7" fillId="0" borderId="0" xfId="42" applyNumberFormat="1" applyFont="1" applyFill="1" applyBorder="1" applyAlignment="1">
      <alignment horizontal="right" vertical="center"/>
    </xf>
    <xf numFmtId="3" fontId="15" fillId="0" borderId="0" xfId="42" applyNumberFormat="1" applyFont="1" applyFill="1" applyBorder="1" applyAlignment="1">
      <alignment horizontal="right" vertical="center"/>
    </xf>
    <xf numFmtId="3" fontId="3" fillId="0" borderId="0" xfId="66" applyNumberFormat="1" applyFont="1" applyFill="1" applyBorder="1">
      <alignment/>
      <protection/>
    </xf>
    <xf numFmtId="3" fontId="48" fillId="0" borderId="0" xfId="66" applyNumberFormat="1" applyFont="1" applyFill="1" applyBorder="1">
      <alignment/>
      <protection/>
    </xf>
    <xf numFmtId="0" fontId="7" fillId="0" borderId="0" xfId="66" applyFont="1" applyFill="1">
      <alignment/>
      <protection/>
    </xf>
    <xf numFmtId="0" fontId="7" fillId="0" borderId="0" xfId="0" applyFont="1" applyAlignment="1">
      <alignment/>
    </xf>
    <xf numFmtId="0" fontId="0" fillId="0" borderId="0" xfId="0" applyFont="1" applyAlignment="1">
      <alignment/>
    </xf>
    <xf numFmtId="0" fontId="15" fillId="0" borderId="0" xfId="66" applyFont="1" applyFill="1" quotePrefix="1">
      <alignment/>
      <protection/>
    </xf>
    <xf numFmtId="0" fontId="15" fillId="0" borderId="0" xfId="0" applyFont="1" applyAlignment="1" quotePrefix="1">
      <alignment/>
    </xf>
    <xf numFmtId="0" fontId="7" fillId="0" borderId="0" xfId="0" applyFont="1" applyAlignment="1" quotePrefix="1">
      <alignment/>
    </xf>
    <xf numFmtId="0" fontId="15" fillId="0" borderId="0" xfId="66" applyFont="1" applyFill="1">
      <alignment/>
      <protection/>
    </xf>
    <xf numFmtId="0" fontId="12" fillId="0" borderId="0" xfId="66" applyFont="1" applyFill="1">
      <alignment/>
      <protection/>
    </xf>
    <xf numFmtId="192" fontId="4" fillId="0" borderId="0" xfId="47" applyFont="1" applyFill="1" applyAlignment="1">
      <alignment/>
    </xf>
    <xf numFmtId="0" fontId="11" fillId="35" borderId="0" xfId="0" applyFont="1" applyFill="1" applyAlignment="1">
      <alignment horizontal="center" vertical="center"/>
    </xf>
    <xf numFmtId="0" fontId="33" fillId="35" borderId="0" xfId="0" applyFont="1" applyFill="1" applyBorder="1" applyAlignment="1">
      <alignment horizontal="center" vertical="center"/>
    </xf>
    <xf numFmtId="3" fontId="12" fillId="35" borderId="10" xfId="0" applyNumberFormat="1" applyFont="1" applyFill="1" applyBorder="1" applyAlignment="1">
      <alignment horizontal="center" vertical="center" wrapText="1"/>
    </xf>
    <xf numFmtId="3" fontId="7" fillId="35" borderId="10" xfId="0" applyNumberFormat="1" applyFont="1" applyFill="1" applyBorder="1" applyAlignment="1">
      <alignment horizontal="right" vertical="center" wrapText="1"/>
    </xf>
    <xf numFmtId="1" fontId="15" fillId="35" borderId="10" xfId="0" applyNumberFormat="1" applyFont="1" applyFill="1" applyBorder="1" applyAlignment="1">
      <alignment horizontal="right" vertical="center" wrapText="1"/>
    </xf>
    <xf numFmtId="0" fontId="15" fillId="0" borderId="10" xfId="0" applyFont="1" applyFill="1" applyBorder="1" applyAlignment="1">
      <alignment vertical="center" wrapText="1"/>
    </xf>
    <xf numFmtId="3" fontId="15" fillId="0" borderId="10" xfId="0" applyNumberFormat="1" applyFont="1" applyFill="1" applyBorder="1" applyAlignment="1">
      <alignment horizontal="right" vertical="center" wrapText="1"/>
    </xf>
    <xf numFmtId="1" fontId="15" fillId="35" borderId="10" xfId="0" applyNumberFormat="1" applyFont="1" applyFill="1" applyBorder="1" applyAlignment="1">
      <alignment horizontal="right" vertical="center"/>
    </xf>
    <xf numFmtId="1" fontId="15" fillId="0" borderId="10" xfId="0" applyNumberFormat="1" applyFont="1" applyFill="1" applyBorder="1" applyAlignment="1">
      <alignment vertical="center"/>
    </xf>
    <xf numFmtId="3" fontId="7" fillId="0" borderId="10" xfId="0" applyNumberFormat="1" applyFont="1" applyFill="1" applyBorder="1" applyAlignment="1">
      <alignment vertical="center" wrapText="1"/>
    </xf>
    <xf numFmtId="3" fontId="7" fillId="35" borderId="10" xfId="0" applyNumberFormat="1" applyFont="1" applyFill="1" applyBorder="1" applyAlignment="1">
      <alignment vertical="center" wrapText="1"/>
    </xf>
    <xf numFmtId="0" fontId="15" fillId="0" borderId="10" xfId="0" applyFont="1" applyFill="1" applyBorder="1" applyAlignment="1">
      <alignment horizontal="right" vertical="center" wrapText="1"/>
    </xf>
    <xf numFmtId="3" fontId="15" fillId="0" borderId="10" xfId="0" applyNumberFormat="1" applyFont="1" applyFill="1" applyBorder="1" applyAlignment="1">
      <alignment horizontal="left" vertical="center"/>
    </xf>
    <xf numFmtId="3" fontId="15" fillId="35" borderId="10" xfId="42" applyNumberFormat="1" applyFont="1" applyFill="1" applyBorder="1" applyAlignment="1">
      <alignment horizontal="right" vertical="center"/>
    </xf>
    <xf numFmtId="0" fontId="15" fillId="0" borderId="0" xfId="0" applyFont="1" applyFill="1" applyAlignment="1">
      <alignment horizontal="center" vertical="center"/>
    </xf>
    <xf numFmtId="213" fontId="12" fillId="0" borderId="10" xfId="0" applyNumberFormat="1" applyFont="1" applyFill="1" applyBorder="1" applyAlignment="1">
      <alignment horizontal="right" vertical="center"/>
    </xf>
    <xf numFmtId="0" fontId="9" fillId="0" borderId="0" xfId="0" applyFont="1" applyFill="1" applyAlignment="1">
      <alignment vertical="center"/>
    </xf>
    <xf numFmtId="3" fontId="17" fillId="0" borderId="10" xfId="0" applyNumberFormat="1" applyFont="1" applyFill="1" applyBorder="1" applyAlignment="1">
      <alignment horizontal="left" vertical="center"/>
    </xf>
    <xf numFmtId="3" fontId="17" fillId="0" borderId="10" xfId="42" applyNumberFormat="1" applyFont="1" applyFill="1" applyBorder="1" applyAlignment="1">
      <alignment horizontal="right" vertical="center"/>
    </xf>
    <xf numFmtId="3" fontId="17" fillId="0" borderId="10" xfId="42" applyNumberFormat="1" applyFont="1" applyFill="1" applyBorder="1" applyAlignment="1">
      <alignment horizontal="right" vertical="center" wrapText="1"/>
    </xf>
    <xf numFmtId="3" fontId="17" fillId="35" borderId="10" xfId="42" applyNumberFormat="1" applyFont="1" applyFill="1" applyBorder="1" applyAlignment="1">
      <alignment horizontal="right" vertical="center" wrapText="1"/>
    </xf>
    <xf numFmtId="4" fontId="18" fillId="0" borderId="10" xfId="0" applyNumberFormat="1" applyFont="1" applyFill="1" applyBorder="1" applyAlignment="1">
      <alignment horizontal="right" vertical="center"/>
    </xf>
    <xf numFmtId="3" fontId="17" fillId="0" borderId="10" xfId="0" applyNumberFormat="1" applyFont="1" applyFill="1" applyBorder="1" applyAlignment="1" quotePrefix="1">
      <alignment horizontal="left" vertical="center"/>
    </xf>
    <xf numFmtId="0" fontId="10" fillId="0" borderId="10" xfId="0" applyFont="1" applyFill="1" applyBorder="1" applyAlignment="1">
      <alignment vertical="center" wrapText="1"/>
    </xf>
    <xf numFmtId="3" fontId="15" fillId="33" borderId="10" xfId="42" applyNumberFormat="1" applyFont="1" applyFill="1" applyBorder="1" applyAlignment="1" applyProtection="1">
      <alignment horizontal="right" vertical="center" wrapText="1"/>
      <protection/>
    </xf>
    <xf numFmtId="0" fontId="15" fillId="33" borderId="10" xfId="0" applyFont="1" applyFill="1" applyBorder="1" applyAlignment="1" quotePrefix="1">
      <alignment horizontal="left" vertical="center" wrapText="1"/>
    </xf>
    <xf numFmtId="188" fontId="12" fillId="33" borderId="0" xfId="42" applyNumberFormat="1" applyFont="1" applyFill="1" applyAlignment="1">
      <alignment vertical="center"/>
    </xf>
    <xf numFmtId="0" fontId="11" fillId="0" borderId="0" xfId="0" applyFont="1" applyAlignment="1">
      <alignment vertical="center"/>
    </xf>
    <xf numFmtId="0" fontId="11" fillId="0" borderId="0" xfId="0" applyFont="1" applyAlignment="1">
      <alignment horizontal="left" vertical="center"/>
    </xf>
    <xf numFmtId="3" fontId="11" fillId="0" borderId="0" xfId="0" applyNumberFormat="1" applyFont="1" applyAlignment="1">
      <alignment horizontal="center" vertical="center"/>
    </xf>
    <xf numFmtId="3" fontId="11" fillId="0" borderId="0" xfId="0" applyNumberFormat="1" applyFont="1" applyAlignment="1">
      <alignment vertical="center"/>
    </xf>
    <xf numFmtId="0" fontId="4" fillId="0" borderId="0" xfId="0" applyFont="1" applyAlignment="1">
      <alignment vertical="center"/>
    </xf>
    <xf numFmtId="0" fontId="11" fillId="0" borderId="0" xfId="0" applyFont="1" applyBorder="1" applyAlignment="1">
      <alignment horizontal="center" vertical="center" wrapText="1"/>
    </xf>
    <xf numFmtId="0" fontId="11" fillId="0" borderId="10" xfId="0" applyFont="1" applyBorder="1" applyAlignment="1">
      <alignment horizontal="center" vertical="center"/>
    </xf>
    <xf numFmtId="3" fontId="11" fillId="0" borderId="10" xfId="0" applyNumberFormat="1" applyFont="1" applyBorder="1" applyAlignment="1">
      <alignment horizontal="right" vertical="center"/>
    </xf>
    <xf numFmtId="4" fontId="4" fillId="0" borderId="0" xfId="0" applyNumberFormat="1" applyFont="1" applyAlignment="1">
      <alignment vertical="center"/>
    </xf>
    <xf numFmtId="3" fontId="4" fillId="0" borderId="0" xfId="0" applyNumberFormat="1" applyFont="1" applyAlignment="1">
      <alignment vertical="center"/>
    </xf>
    <xf numFmtId="0" fontId="11" fillId="0" borderId="10" xfId="0" applyFont="1" applyBorder="1" applyAlignment="1">
      <alignment horizontal="left" vertical="center"/>
    </xf>
    <xf numFmtId="3" fontId="11" fillId="0" borderId="10" xfId="0" applyNumberFormat="1" applyFont="1" applyBorder="1" applyAlignment="1">
      <alignment vertical="center"/>
    </xf>
    <xf numFmtId="3" fontId="4" fillId="0" borderId="10" xfId="0" applyNumberFormat="1" applyFont="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center" vertical="center"/>
    </xf>
    <xf numFmtId="188" fontId="4" fillId="0" borderId="0" xfId="42" applyNumberFormat="1" applyFont="1" applyAlignment="1">
      <alignment vertical="center"/>
    </xf>
    <xf numFmtId="0" fontId="11" fillId="0" borderId="10" xfId="0" applyFont="1" applyFill="1" applyBorder="1" applyAlignment="1">
      <alignment horizontal="left" vertical="center" wrapText="1"/>
    </xf>
    <xf numFmtId="3" fontId="11" fillId="0" borderId="10" xfId="0" applyNumberFormat="1" applyFont="1" applyFill="1" applyBorder="1" applyAlignment="1">
      <alignment horizontal="right" vertical="center"/>
    </xf>
    <xf numFmtId="3" fontId="11" fillId="0" borderId="10" xfId="0" applyNumberFormat="1" applyFont="1" applyFill="1" applyBorder="1" applyAlignment="1">
      <alignment vertical="center"/>
    </xf>
    <xf numFmtId="3" fontId="48" fillId="0" borderId="10" xfId="42" applyNumberFormat="1" applyFont="1" applyFill="1" applyBorder="1" applyAlignment="1" applyProtection="1">
      <alignment vertical="center" wrapText="1"/>
      <protection/>
    </xf>
    <xf numFmtId="0" fontId="4" fillId="0" borderId="10" xfId="0" applyFont="1" applyFill="1" applyBorder="1" applyAlignment="1">
      <alignment horizontal="center" vertical="center"/>
    </xf>
    <xf numFmtId="3" fontId="34" fillId="0" borderId="10" xfId="0" applyNumberFormat="1" applyFont="1" applyFill="1" applyBorder="1" applyAlignment="1">
      <alignment vertical="center"/>
    </xf>
    <xf numFmtId="0" fontId="11" fillId="0" borderId="10" xfId="0" applyFont="1" applyFill="1" applyBorder="1" applyAlignment="1">
      <alignment vertical="center"/>
    </xf>
    <xf numFmtId="3" fontId="48" fillId="0" borderId="10" xfId="0" applyNumberFormat="1" applyFont="1" applyFill="1" applyBorder="1" applyAlignment="1">
      <alignment vertical="center"/>
    </xf>
    <xf numFmtId="3" fontId="4" fillId="0" borderId="10" xfId="0" applyNumberFormat="1" applyFont="1" applyFill="1" applyBorder="1" applyAlignment="1">
      <alignment horizontal="right" vertical="center"/>
    </xf>
    <xf numFmtId="3" fontId="45" fillId="0" borderId="10" xfId="0" applyNumberFormat="1" applyFont="1" applyFill="1" applyBorder="1" applyAlignment="1">
      <alignment vertical="center"/>
    </xf>
    <xf numFmtId="0" fontId="4" fillId="0" borderId="10" xfId="0" applyFont="1" applyFill="1" applyBorder="1" applyAlignment="1">
      <alignment horizontal="right" vertical="center"/>
    </xf>
    <xf numFmtId="0" fontId="4" fillId="0" borderId="10" xfId="68" applyFont="1" applyFill="1" applyBorder="1" applyAlignment="1">
      <alignment horizontal="center" vertical="center" wrapText="1"/>
      <protection/>
    </xf>
    <xf numFmtId="49" fontId="4" fillId="0" borderId="10" xfId="0" applyNumberFormat="1" applyFont="1" applyFill="1" applyBorder="1" applyAlignment="1">
      <alignment horizontal="left" vertical="center" wrapText="1"/>
    </xf>
    <xf numFmtId="179" fontId="4" fillId="0" borderId="10" xfId="68" applyNumberFormat="1" applyFont="1" applyFill="1" applyBorder="1">
      <alignment/>
      <protection/>
    </xf>
    <xf numFmtId="49" fontId="3" fillId="35" borderId="0" xfId="0" applyNumberFormat="1" applyFont="1" applyFill="1" applyAlignment="1">
      <alignment horizontal="right"/>
    </xf>
    <xf numFmtId="49" fontId="39" fillId="35" borderId="0" xfId="0" applyNumberFormat="1" applyFont="1" applyFill="1" applyAlignment="1">
      <alignment horizontal="right"/>
    </xf>
    <xf numFmtId="49" fontId="40" fillId="35" borderId="0" xfId="0" applyNumberFormat="1" applyFont="1" applyFill="1" applyBorder="1" applyAlignment="1">
      <alignment horizontal="right"/>
    </xf>
    <xf numFmtId="49" fontId="3" fillId="35" borderId="10" xfId="0" applyNumberFormat="1" applyFont="1" applyFill="1" applyBorder="1" applyAlignment="1">
      <alignment horizontal="center" vertical="center" wrapText="1"/>
    </xf>
    <xf numFmtId="3" fontId="23" fillId="35" borderId="10" xfId="0" applyNumberFormat="1" applyFont="1" applyFill="1" applyBorder="1" applyAlignment="1" quotePrefix="1">
      <alignment horizontal="right" vertical="center" wrapText="1"/>
    </xf>
    <xf numFmtId="3" fontId="23" fillId="35" borderId="10" xfId="0" applyNumberFormat="1" applyFont="1" applyFill="1" applyBorder="1" applyAlignment="1">
      <alignment horizontal="right" vertical="center" wrapText="1"/>
    </xf>
    <xf numFmtId="49" fontId="20" fillId="35" borderId="10" xfId="0" applyNumberFormat="1" applyFont="1" applyFill="1" applyBorder="1" applyAlignment="1">
      <alignment horizontal="right" vertical="center" wrapText="1"/>
    </xf>
    <xf numFmtId="3" fontId="20" fillId="35" borderId="10" xfId="0" applyNumberFormat="1" applyFont="1" applyFill="1" applyBorder="1" applyAlignment="1">
      <alignment horizontal="right" vertical="center" wrapText="1"/>
    </xf>
    <xf numFmtId="3" fontId="40" fillId="35" borderId="10" xfId="0" applyNumberFormat="1" applyFont="1" applyFill="1" applyBorder="1" applyAlignment="1">
      <alignment horizontal="right" vertical="center" wrapText="1"/>
    </xf>
    <xf numFmtId="49" fontId="55" fillId="35" borderId="10" xfId="0" applyNumberFormat="1" applyFont="1" applyFill="1" applyBorder="1" applyAlignment="1">
      <alignment horizontal="right" vertical="center" wrapText="1"/>
    </xf>
    <xf numFmtId="0" fontId="12" fillId="35" borderId="10" xfId="0" applyFont="1" applyFill="1" applyBorder="1" applyAlignment="1">
      <alignment horizontal="center" vertical="center" wrapText="1"/>
    </xf>
    <xf numFmtId="0" fontId="56" fillId="35" borderId="0" xfId="0" applyFont="1" applyFill="1" applyBorder="1" applyAlignment="1">
      <alignment/>
    </xf>
    <xf numFmtId="0" fontId="56" fillId="35" borderId="0" xfId="0" applyFont="1" applyFill="1" applyAlignment="1">
      <alignment/>
    </xf>
    <xf numFmtId="49" fontId="3" fillId="35" borderId="10" xfId="0" applyNumberFormat="1" applyFont="1" applyFill="1" applyBorder="1" applyAlignment="1" quotePrefix="1">
      <alignment horizontal="left" vertical="center" wrapText="1"/>
    </xf>
    <xf numFmtId="49" fontId="23" fillId="35" borderId="10" xfId="0" applyNumberFormat="1" applyFont="1" applyFill="1" applyBorder="1" applyAlignment="1">
      <alignment horizontal="right" vertical="center" wrapText="1"/>
    </xf>
    <xf numFmtId="0" fontId="17" fillId="35" borderId="10" xfId="0" applyFont="1" applyFill="1" applyBorder="1" applyAlignment="1" quotePrefix="1">
      <alignment horizontal="left" vertical="center" wrapText="1"/>
    </xf>
    <xf numFmtId="179" fontId="23" fillId="35" borderId="10" xfId="42" applyFont="1" applyFill="1" applyBorder="1" applyAlignment="1" applyProtection="1">
      <alignment horizontal="right" vertical="center" wrapText="1"/>
      <protection/>
    </xf>
    <xf numFmtId="0" fontId="23" fillId="35" borderId="10" xfId="0" applyFont="1" applyFill="1" applyBorder="1" applyAlignment="1" quotePrefix="1">
      <alignment horizontal="left" vertical="center" wrapText="1"/>
    </xf>
    <xf numFmtId="0" fontId="39" fillId="35" borderId="0" xfId="0" applyFont="1" applyFill="1" applyAlignment="1">
      <alignment/>
    </xf>
    <xf numFmtId="3" fontId="3" fillId="35" borderId="10" xfId="0" applyNumberFormat="1" applyFont="1" applyFill="1" applyBorder="1" applyAlignment="1" quotePrefix="1">
      <alignment horizontal="right" vertical="center" wrapText="1"/>
    </xf>
    <xf numFmtId="49" fontId="15" fillId="35" borderId="10" xfId="0" applyNumberFormat="1" applyFont="1" applyFill="1" applyBorder="1" applyAlignment="1" quotePrefix="1">
      <alignment horizontal="left" vertical="center" wrapText="1"/>
    </xf>
    <xf numFmtId="0" fontId="34" fillId="35" borderId="10" xfId="64" applyFont="1" applyFill="1" applyBorder="1" applyAlignment="1">
      <alignment horizontal="left" vertical="center" wrapText="1"/>
      <protection/>
    </xf>
    <xf numFmtId="0" fontId="20" fillId="35" borderId="10" xfId="64" applyFont="1" applyFill="1" applyBorder="1" applyAlignment="1">
      <alignment horizontal="right" vertical="center" wrapText="1"/>
      <protection/>
    </xf>
    <xf numFmtId="0" fontId="34" fillId="35" borderId="16" xfId="64" applyFont="1" applyFill="1" applyBorder="1" applyAlignment="1">
      <alignment horizontal="left" vertical="center" wrapText="1"/>
      <protection/>
    </xf>
    <xf numFmtId="0" fontId="20" fillId="35" borderId="16" xfId="64" applyFont="1" applyFill="1" applyBorder="1" applyAlignment="1">
      <alignment horizontal="right" vertical="center" wrapText="1"/>
      <protection/>
    </xf>
    <xf numFmtId="3" fontId="41" fillId="35" borderId="13" xfId="0" applyNumberFormat="1" applyFont="1" applyFill="1" applyBorder="1" applyAlignment="1">
      <alignment/>
    </xf>
    <xf numFmtId="49" fontId="4" fillId="35" borderId="10" xfId="0" applyNumberFormat="1" applyFont="1" applyFill="1" applyBorder="1" applyAlignment="1">
      <alignment horizontal="left" vertical="center" wrapText="1"/>
    </xf>
    <xf numFmtId="183" fontId="23" fillId="35" borderId="10" xfId="42" applyNumberFormat="1" applyFont="1" applyFill="1" applyBorder="1" applyAlignment="1" applyProtection="1">
      <alignment horizontal="right" vertical="center" wrapText="1"/>
      <protection/>
    </xf>
    <xf numFmtId="0" fontId="3" fillId="35" borderId="10" xfId="0" applyFont="1" applyFill="1" applyBorder="1" applyAlignment="1">
      <alignment horizontal="left" vertical="center" wrapText="1"/>
    </xf>
    <xf numFmtId="0" fontId="23" fillId="35" borderId="10" xfId="0" applyFont="1" applyFill="1" applyBorder="1" applyAlignment="1">
      <alignment horizontal="right" vertical="center" wrapText="1"/>
    </xf>
    <xf numFmtId="183" fontId="3" fillId="35" borderId="10" xfId="42" applyNumberFormat="1" applyFont="1" applyFill="1" applyBorder="1" applyAlignment="1" applyProtection="1">
      <alignment horizontal="right" vertical="center" wrapText="1"/>
      <protection/>
    </xf>
    <xf numFmtId="0" fontId="23" fillId="35" borderId="10" xfId="0" applyFont="1" applyFill="1" applyBorder="1" applyAlignment="1">
      <alignment horizontal="left" vertical="center" wrapText="1"/>
    </xf>
    <xf numFmtId="183" fontId="23" fillId="35" borderId="10" xfId="0" applyNumberFormat="1" applyFont="1" applyFill="1" applyBorder="1" applyAlignment="1">
      <alignment horizontal="right" vertical="center" wrapText="1"/>
    </xf>
    <xf numFmtId="0" fontId="25" fillId="35" borderId="10" xfId="0" applyFont="1" applyFill="1" applyBorder="1" applyAlignment="1">
      <alignment horizontal="right" vertical="center" wrapText="1"/>
    </xf>
    <xf numFmtId="0" fontId="33" fillId="35" borderId="10" xfId="0" applyFont="1" applyFill="1" applyBorder="1" applyAlignment="1">
      <alignment horizontal="center" vertical="center" wrapText="1"/>
    </xf>
    <xf numFmtId="0" fontId="33" fillId="35" borderId="10" xfId="0" applyFont="1" applyFill="1" applyBorder="1" applyAlignment="1">
      <alignment vertical="center" wrapText="1"/>
    </xf>
    <xf numFmtId="180" fontId="33" fillId="35" borderId="10" xfId="42" applyNumberFormat="1" applyFont="1" applyFill="1" applyBorder="1" applyAlignment="1">
      <alignment horizontal="right" vertical="center" wrapText="1"/>
    </xf>
    <xf numFmtId="3" fontId="33" fillId="35" borderId="10" xfId="42" applyNumberFormat="1" applyFont="1" applyFill="1" applyBorder="1" applyAlignment="1" applyProtection="1">
      <alignment vertical="center" wrapText="1"/>
      <protection/>
    </xf>
    <xf numFmtId="3" fontId="4" fillId="35" borderId="13" xfId="42" applyNumberFormat="1" applyFont="1" applyFill="1" applyBorder="1" applyAlignment="1" applyProtection="1">
      <alignment vertical="center" wrapText="1"/>
      <protection/>
    </xf>
    <xf numFmtId="3" fontId="4" fillId="35" borderId="10" xfId="42" applyNumberFormat="1" applyFont="1" applyFill="1" applyBorder="1" applyAlignment="1" applyProtection="1">
      <alignment vertical="center" wrapText="1"/>
      <protection/>
    </xf>
    <xf numFmtId="0" fontId="12" fillId="32" borderId="0" xfId="0" applyFont="1" applyFill="1" applyAlignment="1">
      <alignment vertical="center"/>
    </xf>
    <xf numFmtId="0" fontId="4" fillId="0" borderId="0" xfId="0" applyFont="1" applyBorder="1" applyAlignment="1">
      <alignment horizontal="center" vertical="center"/>
    </xf>
    <xf numFmtId="0" fontId="34" fillId="0" borderId="0" xfId="0" applyFont="1" applyFill="1" applyBorder="1" applyAlignment="1">
      <alignment horizontal="right" vertical="center"/>
    </xf>
    <xf numFmtId="0" fontId="3" fillId="0" borderId="16" xfId="0" applyFont="1" applyFill="1" applyBorder="1" applyAlignment="1">
      <alignment horizontal="center" vertical="center" wrapText="1"/>
    </xf>
    <xf numFmtId="0" fontId="5" fillId="0" borderId="10" xfId="0" applyFont="1" applyFill="1" applyBorder="1" applyAlignment="1">
      <alignment horizontal="left" vertical="center" wrapText="1"/>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right" vertical="center" wrapText="1"/>
    </xf>
    <xf numFmtId="182" fontId="3" fillId="0" borderId="10" xfId="0" applyNumberFormat="1" applyFont="1" applyFill="1" applyBorder="1" applyAlignment="1">
      <alignment horizontal="right" vertical="center" wrapText="1"/>
    </xf>
    <xf numFmtId="182" fontId="11" fillId="32" borderId="0" xfId="0" applyNumberFormat="1" applyFont="1" applyFill="1" applyAlignment="1">
      <alignment vertical="center" wrapText="1"/>
    </xf>
    <xf numFmtId="0" fontId="4" fillId="32" borderId="0" xfId="0" applyFont="1" applyFill="1" applyAlignment="1">
      <alignment vertical="center" wrapText="1"/>
    </xf>
    <xf numFmtId="0" fontId="4" fillId="0" borderId="0" xfId="0" applyFont="1" applyAlignment="1">
      <alignment vertical="center" wrapText="1"/>
    </xf>
    <xf numFmtId="0" fontId="20" fillId="0" borderId="0" xfId="0" applyFont="1" applyBorder="1" applyAlignment="1">
      <alignment vertical="center"/>
    </xf>
    <xf numFmtId="182" fontId="4" fillId="32" borderId="0" xfId="0" applyNumberFormat="1" applyFont="1" applyFill="1" applyAlignment="1">
      <alignment vertical="center" wrapText="1"/>
    </xf>
    <xf numFmtId="182" fontId="5" fillId="32" borderId="10" xfId="0" applyNumberFormat="1" applyFont="1" applyFill="1" applyBorder="1" applyAlignment="1">
      <alignment horizontal="right" vertical="center" wrapText="1"/>
    </xf>
    <xf numFmtId="182" fontId="5" fillId="32" borderId="21" xfId="0" applyNumberFormat="1" applyFont="1" applyFill="1" applyBorder="1" applyAlignment="1">
      <alignment horizontal="right" vertical="center" wrapText="1"/>
    </xf>
    <xf numFmtId="182" fontId="25" fillId="0" borderId="10" xfId="42" applyNumberFormat="1" applyFont="1" applyFill="1" applyBorder="1" applyAlignment="1" applyProtection="1">
      <alignment vertical="center" wrapText="1"/>
      <protection/>
    </xf>
    <xf numFmtId="182" fontId="25" fillId="0" borderId="10" xfId="42" applyNumberFormat="1" applyFont="1" applyFill="1" applyBorder="1" applyAlignment="1" applyProtection="1">
      <alignment horizontal="right" vertical="center" wrapText="1"/>
      <protection/>
    </xf>
    <xf numFmtId="182" fontId="23" fillId="0" borderId="10" xfId="42" applyNumberFormat="1" applyFont="1" applyFill="1" applyBorder="1" applyAlignment="1" applyProtection="1">
      <alignment horizontal="right" vertical="center" wrapText="1"/>
      <protection/>
    </xf>
    <xf numFmtId="182" fontId="4" fillId="32" borderId="10" xfId="0" applyNumberFormat="1" applyFont="1" applyFill="1" applyBorder="1" applyAlignment="1">
      <alignment vertical="center" wrapText="1"/>
    </xf>
    <xf numFmtId="49" fontId="33" fillId="0" borderId="10" xfId="0" applyNumberFormat="1" applyFont="1" applyFill="1" applyBorder="1" applyAlignment="1" quotePrefix="1">
      <alignment vertical="center" wrapText="1"/>
    </xf>
    <xf numFmtId="9" fontId="33" fillId="0" borderId="10" xfId="42" applyNumberFormat="1" applyFont="1" applyFill="1" applyBorder="1" applyAlignment="1" applyProtection="1">
      <alignment vertical="center" wrapText="1"/>
      <protection/>
    </xf>
    <xf numFmtId="182" fontId="33" fillId="0" borderId="10" xfId="42" applyNumberFormat="1" applyFont="1" applyFill="1" applyBorder="1" applyAlignment="1" applyProtection="1">
      <alignment horizontal="right" vertical="center" wrapText="1"/>
      <protection/>
    </xf>
    <xf numFmtId="0" fontId="34" fillId="0" borderId="10" xfId="0" applyFont="1" applyFill="1" applyBorder="1" applyAlignment="1">
      <alignment vertical="center" wrapText="1"/>
    </xf>
    <xf numFmtId="0" fontId="34" fillId="32" borderId="0" xfId="0" applyFont="1" applyFill="1" applyAlignment="1">
      <alignment vertical="center" wrapText="1"/>
    </xf>
    <xf numFmtId="182" fontId="34" fillId="0" borderId="0" xfId="0" applyNumberFormat="1" applyFont="1" applyAlignment="1">
      <alignment vertical="center" wrapText="1"/>
    </xf>
    <xf numFmtId="0" fontId="34" fillId="0" borderId="0" xfId="0" applyFont="1" applyAlignment="1">
      <alignment vertical="center" wrapText="1"/>
    </xf>
    <xf numFmtId="182" fontId="20" fillId="0" borderId="10" xfId="42" applyNumberFormat="1" applyFont="1" applyFill="1" applyBorder="1" applyAlignment="1" applyProtection="1">
      <alignment horizontal="right" vertical="center" wrapText="1"/>
      <protection/>
    </xf>
    <xf numFmtId="182" fontId="34" fillId="32" borderId="0" xfId="0" applyNumberFormat="1" applyFont="1" applyFill="1" applyAlignment="1">
      <alignment vertical="center" wrapText="1"/>
    </xf>
    <xf numFmtId="9" fontId="25" fillId="0" borderId="10" xfId="42" applyNumberFormat="1" applyFont="1" applyFill="1" applyBorder="1" applyAlignment="1" applyProtection="1">
      <alignment vertical="center" wrapText="1"/>
      <protection/>
    </xf>
    <xf numFmtId="182" fontId="11" fillId="32" borderId="10" xfId="0" applyNumberFormat="1" applyFont="1" applyFill="1" applyBorder="1" applyAlignment="1">
      <alignment vertical="center" wrapText="1"/>
    </xf>
    <xf numFmtId="182" fontId="17" fillId="0" borderId="10" xfId="42" applyNumberFormat="1" applyFont="1" applyFill="1" applyBorder="1" applyAlignment="1" applyProtection="1">
      <alignment horizontal="right" vertical="center" wrapText="1"/>
      <protection/>
    </xf>
    <xf numFmtId="0" fontId="25" fillId="0" borderId="16" xfId="0" applyFont="1" applyFill="1" applyBorder="1" applyAlignment="1">
      <alignment horizontal="center" vertical="center" wrapText="1"/>
    </xf>
    <xf numFmtId="0" fontId="25" fillId="0" borderId="16" xfId="0" applyFont="1" applyFill="1" applyBorder="1" applyAlignment="1">
      <alignment vertical="center" wrapText="1"/>
    </xf>
    <xf numFmtId="9" fontId="25" fillId="0" borderId="16" xfId="42" applyNumberFormat="1" applyFont="1" applyFill="1" applyBorder="1" applyAlignment="1" applyProtection="1">
      <alignment vertical="center" wrapText="1"/>
      <protection/>
    </xf>
    <xf numFmtId="182" fontId="25" fillId="0" borderId="16" xfId="42" applyNumberFormat="1" applyFont="1" applyFill="1" applyBorder="1" applyAlignment="1" applyProtection="1">
      <alignment horizontal="right" vertical="center" wrapText="1"/>
      <protection/>
    </xf>
    <xf numFmtId="0" fontId="33" fillId="0" borderId="16" xfId="0" applyFont="1" applyFill="1" applyBorder="1" applyAlignment="1">
      <alignment horizontal="center" vertical="center" wrapText="1"/>
    </xf>
    <xf numFmtId="0" fontId="33" fillId="0" borderId="16" xfId="0" applyFont="1" applyFill="1" applyBorder="1" applyAlignment="1">
      <alignment vertical="center" wrapText="1"/>
    </xf>
    <xf numFmtId="9" fontId="33" fillId="0" borderId="16" xfId="42" applyNumberFormat="1" applyFont="1" applyFill="1" applyBorder="1" applyAlignment="1" applyProtection="1">
      <alignment vertical="center" wrapText="1"/>
      <protection/>
    </xf>
    <xf numFmtId="182" fontId="33" fillId="0" borderId="16" xfId="42" applyNumberFormat="1" applyFont="1" applyFill="1" applyBorder="1" applyAlignment="1" applyProtection="1">
      <alignment horizontal="right" vertical="center" wrapText="1"/>
      <protection/>
    </xf>
    <xf numFmtId="49" fontId="25" fillId="0" borderId="10" xfId="70" applyNumberFormat="1" applyFont="1" applyFill="1" applyBorder="1" applyAlignment="1">
      <alignment horizontal="justify" vertical="center" wrapText="1"/>
      <protection/>
    </xf>
    <xf numFmtId="9" fontId="5" fillId="0" borderId="10" xfId="42" applyNumberFormat="1" applyFont="1" applyFill="1" applyBorder="1" applyAlignment="1" applyProtection="1">
      <alignment vertical="center" wrapText="1"/>
      <protection/>
    </xf>
    <xf numFmtId="182" fontId="5" fillId="0" borderId="10" xfId="42" applyNumberFormat="1" applyFont="1" applyFill="1" applyBorder="1" applyAlignment="1" applyProtection="1">
      <alignment horizontal="right" vertical="center" wrapText="1"/>
      <protection/>
    </xf>
    <xf numFmtId="182" fontId="11" fillId="0" borderId="10" xfId="42" applyNumberFormat="1" applyFont="1" applyFill="1" applyBorder="1" applyAlignment="1" applyProtection="1">
      <alignment horizontal="right" vertical="center" wrapText="1"/>
      <protection/>
    </xf>
    <xf numFmtId="0" fontId="4" fillId="0" borderId="10" xfId="0" applyFont="1" applyFill="1" applyBorder="1" applyAlignment="1">
      <alignment vertical="center" wrapText="1"/>
    </xf>
    <xf numFmtId="182" fontId="5" fillId="32" borderId="10" xfId="42" applyNumberFormat="1" applyFont="1" applyFill="1" applyBorder="1" applyAlignment="1" applyProtection="1">
      <alignment horizontal="right" vertical="center" wrapText="1"/>
      <protection/>
    </xf>
    <xf numFmtId="49" fontId="5" fillId="0" borderId="10" xfId="70" applyNumberFormat="1" applyFont="1" applyFill="1" applyBorder="1" applyAlignment="1">
      <alignment horizontal="justify" vertical="center" wrapText="1"/>
      <protection/>
    </xf>
    <xf numFmtId="183" fontId="5" fillId="0" borderId="10" xfId="0" applyNumberFormat="1" applyFont="1" applyBorder="1" applyAlignment="1">
      <alignment vertical="center" wrapText="1"/>
    </xf>
    <xf numFmtId="183" fontId="5" fillId="0" borderId="10" xfId="0" applyNumberFormat="1" applyFont="1" applyFill="1" applyBorder="1" applyAlignment="1">
      <alignment vertical="center" wrapText="1"/>
    </xf>
    <xf numFmtId="182" fontId="23" fillId="0" borderId="16" xfId="42" applyNumberFormat="1" applyFont="1" applyFill="1" applyBorder="1" applyAlignment="1" applyProtection="1">
      <alignment horizontal="right" vertical="center" wrapText="1"/>
      <protection/>
    </xf>
    <xf numFmtId="0" fontId="4" fillId="32" borderId="10" xfId="0" applyFont="1" applyFill="1" applyBorder="1" applyAlignment="1">
      <alignment vertical="center" wrapText="1"/>
    </xf>
    <xf numFmtId="49" fontId="25" fillId="0" borderId="10" xfId="0" applyNumberFormat="1" applyFont="1" applyFill="1" applyBorder="1" applyAlignment="1" quotePrefix="1">
      <alignment horizontal="left" vertical="center" wrapText="1"/>
    </xf>
    <xf numFmtId="183" fontId="25" fillId="0" borderId="10" xfId="0" applyNumberFormat="1" applyFont="1" applyBorder="1" applyAlignment="1">
      <alignment vertical="center" wrapText="1"/>
    </xf>
    <xf numFmtId="183" fontId="25" fillId="0" borderId="10" xfId="0" applyNumberFormat="1" applyFont="1" applyBorder="1" applyAlignment="1">
      <alignment horizontal="right" vertical="center" wrapText="1"/>
    </xf>
    <xf numFmtId="183" fontId="5" fillId="0" borderId="10" xfId="42" applyNumberFormat="1" applyFont="1" applyFill="1" applyBorder="1" applyAlignment="1" applyProtection="1">
      <alignment horizontal="right" vertical="center" wrapText="1"/>
      <protection/>
    </xf>
    <xf numFmtId="49" fontId="25" fillId="0" borderId="10" xfId="0" applyNumberFormat="1" applyFont="1" applyFill="1" applyBorder="1" applyAlignment="1" quotePrefix="1">
      <alignment horizontal="justify" vertical="center" wrapText="1"/>
    </xf>
    <xf numFmtId="183" fontId="25" fillId="0" borderId="10" xfId="42" applyNumberFormat="1" applyFont="1" applyFill="1" applyBorder="1" applyAlignment="1" applyProtection="1">
      <alignment horizontal="right" vertical="center" wrapText="1"/>
      <protection/>
    </xf>
    <xf numFmtId="183" fontId="3" fillId="0" borderId="10" xfId="42" applyNumberFormat="1" applyFont="1" applyFill="1" applyBorder="1" applyAlignment="1" applyProtection="1">
      <alignment horizontal="right" vertical="center" wrapText="1"/>
      <protection/>
    </xf>
    <xf numFmtId="3" fontId="11" fillId="32" borderId="0" xfId="0" applyNumberFormat="1" applyFont="1" applyFill="1" applyAlignment="1">
      <alignment vertical="center" wrapText="1"/>
    </xf>
    <xf numFmtId="183" fontId="4" fillId="32" borderId="0" xfId="0" applyNumberFormat="1" applyFont="1" applyFill="1" applyAlignment="1">
      <alignment vertical="center" wrapText="1"/>
    </xf>
    <xf numFmtId="183" fontId="5" fillId="32" borderId="10" xfId="42" applyNumberFormat="1" applyFont="1" applyFill="1" applyBorder="1" applyAlignment="1" applyProtection="1">
      <alignment horizontal="right" vertical="center" wrapText="1"/>
      <protection/>
    </xf>
    <xf numFmtId="3" fontId="4" fillId="32" borderId="0" xfId="0" applyNumberFormat="1" applyFont="1" applyFill="1" applyAlignment="1">
      <alignment vertical="center" wrapText="1"/>
    </xf>
    <xf numFmtId="0" fontId="11" fillId="32" borderId="0" xfId="0" applyFont="1" applyFill="1" applyAlignment="1">
      <alignment vertical="center" wrapText="1"/>
    </xf>
    <xf numFmtId="0" fontId="11" fillId="32" borderId="10" xfId="0" applyFont="1" applyFill="1" applyBorder="1" applyAlignment="1">
      <alignment vertical="center" wrapText="1"/>
    </xf>
    <xf numFmtId="0" fontId="11" fillId="0" borderId="0" xfId="0" applyFont="1" applyAlignment="1">
      <alignment vertical="center" wrapText="1"/>
    </xf>
    <xf numFmtId="183" fontId="4" fillId="32" borderId="10" xfId="0" applyNumberFormat="1" applyFont="1" applyFill="1" applyBorder="1" applyAlignment="1">
      <alignment vertical="center" wrapText="1"/>
    </xf>
    <xf numFmtId="0" fontId="33" fillId="0" borderId="10" xfId="0" applyFont="1" applyFill="1" applyBorder="1" applyAlignment="1" quotePrefix="1">
      <alignment vertical="center" wrapText="1"/>
    </xf>
    <xf numFmtId="183" fontId="33" fillId="0" borderId="10" xfId="42" applyNumberFormat="1" applyFont="1" applyFill="1" applyBorder="1" applyAlignment="1" applyProtection="1">
      <alignment horizontal="right" vertical="center" wrapText="1"/>
      <protection/>
    </xf>
    <xf numFmtId="183" fontId="34" fillId="0" borderId="10" xfId="42" applyNumberFormat="1" applyFont="1" applyFill="1" applyBorder="1" applyAlignment="1">
      <alignment vertical="center" wrapText="1"/>
    </xf>
    <xf numFmtId="183" fontId="34" fillId="32" borderId="0" xfId="0" applyNumberFormat="1" applyFont="1" applyFill="1" applyAlignment="1">
      <alignment vertical="center" wrapText="1"/>
    </xf>
    <xf numFmtId="183" fontId="33" fillId="32" borderId="10" xfId="42" applyNumberFormat="1" applyFont="1" applyFill="1" applyBorder="1" applyAlignment="1" applyProtection="1">
      <alignment horizontal="right" vertical="center" wrapText="1"/>
      <protection/>
    </xf>
    <xf numFmtId="183" fontId="34" fillId="0" borderId="0" xfId="0" applyNumberFormat="1" applyFont="1" applyAlignment="1">
      <alignment vertical="center" wrapText="1"/>
    </xf>
    <xf numFmtId="9" fontId="33" fillId="0" borderId="10" xfId="42" applyNumberFormat="1" applyFont="1" applyFill="1" applyBorder="1" applyAlignment="1" applyProtection="1">
      <alignment horizontal="right" vertical="center" wrapText="1"/>
      <protection/>
    </xf>
    <xf numFmtId="183" fontId="4" fillId="0" borderId="0" xfId="0" applyNumberFormat="1" applyFont="1" applyAlignment="1">
      <alignment vertical="center" wrapText="1"/>
    </xf>
    <xf numFmtId="183" fontId="23" fillId="0" borderId="10" xfId="42" applyNumberFormat="1" applyFont="1" applyFill="1" applyBorder="1" applyAlignment="1" applyProtection="1">
      <alignment horizontal="right" vertical="center" wrapText="1"/>
      <protection/>
    </xf>
    <xf numFmtId="183" fontId="3" fillId="0" borderId="10" xfId="0" applyNumberFormat="1" applyFont="1" applyBorder="1" applyAlignment="1">
      <alignment vertical="center" wrapText="1"/>
    </xf>
    <xf numFmtId="183" fontId="3" fillId="0" borderId="10" xfId="0" applyNumberFormat="1" applyFont="1" applyFill="1" applyBorder="1" applyAlignment="1">
      <alignment vertical="center" wrapText="1"/>
    </xf>
    <xf numFmtId="0" fontId="5" fillId="35" borderId="10" xfId="0" applyFont="1" applyFill="1" applyBorder="1" applyAlignment="1">
      <alignment horizontal="center" vertical="center" wrapText="1"/>
    </xf>
    <xf numFmtId="49" fontId="25" fillId="35" borderId="10" xfId="0" applyNumberFormat="1" applyFont="1" applyFill="1" applyBorder="1" applyAlignment="1" quotePrefix="1">
      <alignment horizontal="left" vertical="center" wrapText="1"/>
    </xf>
    <xf numFmtId="9" fontId="25" fillId="35" borderId="10" xfId="42" applyNumberFormat="1" applyFont="1" applyFill="1" applyBorder="1" applyAlignment="1" applyProtection="1">
      <alignment vertical="center" wrapText="1"/>
      <protection/>
    </xf>
    <xf numFmtId="183" fontId="25" fillId="35" borderId="10" xfId="0" applyNumberFormat="1" applyFont="1" applyFill="1" applyBorder="1" applyAlignment="1">
      <alignment vertical="center" wrapText="1"/>
    </xf>
    <xf numFmtId="183" fontId="23" fillId="35" borderId="10" xfId="0" applyNumberFormat="1" applyFont="1" applyFill="1" applyBorder="1" applyAlignment="1">
      <alignment vertical="center" wrapText="1"/>
    </xf>
    <xf numFmtId="183" fontId="4" fillId="35" borderId="10" xfId="0" applyNumberFormat="1" applyFont="1" applyFill="1" applyBorder="1" applyAlignment="1">
      <alignment vertical="center" wrapText="1"/>
    </xf>
    <xf numFmtId="182" fontId="4" fillId="35" borderId="0" xfId="0" applyNumberFormat="1" applyFont="1" applyFill="1" applyAlignment="1">
      <alignment vertical="center" wrapText="1"/>
    </xf>
    <xf numFmtId="3" fontId="4" fillId="35" borderId="0" xfId="0" applyNumberFormat="1" applyFont="1" applyFill="1" applyAlignment="1">
      <alignment vertical="center" wrapText="1"/>
    </xf>
    <xf numFmtId="0" fontId="4" fillId="35" borderId="0" xfId="0" applyFont="1" applyFill="1" applyAlignment="1">
      <alignment vertical="center" wrapText="1"/>
    </xf>
    <xf numFmtId="0" fontId="4" fillId="35" borderId="10" xfId="0" applyFont="1" applyFill="1" applyBorder="1" applyAlignment="1">
      <alignment vertical="center" wrapText="1"/>
    </xf>
    <xf numFmtId="183" fontId="23" fillId="0" borderId="10" xfId="0" applyNumberFormat="1" applyFont="1" applyFill="1" applyBorder="1" applyAlignment="1">
      <alignment vertical="center" wrapText="1"/>
    </xf>
    <xf numFmtId="183" fontId="12" fillId="0" borderId="10" xfId="0" applyNumberFormat="1" applyFont="1" applyFill="1" applyBorder="1" applyAlignment="1">
      <alignment vertical="center"/>
    </xf>
    <xf numFmtId="183" fontId="12" fillId="32" borderId="0" xfId="0" applyNumberFormat="1" applyFont="1" applyFill="1" applyAlignment="1">
      <alignment vertical="center"/>
    </xf>
    <xf numFmtId="0" fontId="12" fillId="32" borderId="10" xfId="0" applyFont="1" applyFill="1" applyBorder="1" applyAlignment="1">
      <alignment vertical="center"/>
    </xf>
    <xf numFmtId="183" fontId="25" fillId="0" borderId="10" xfId="0" applyNumberFormat="1" applyFont="1" applyFill="1" applyBorder="1" applyAlignment="1">
      <alignment vertical="center" wrapText="1"/>
    </xf>
    <xf numFmtId="183" fontId="4" fillId="0" borderId="10" xfId="0" applyNumberFormat="1" applyFont="1" applyBorder="1" applyAlignment="1">
      <alignment vertical="center" wrapText="1"/>
    </xf>
    <xf numFmtId="0" fontId="23" fillId="0" borderId="10" xfId="0" applyFont="1" applyFill="1" applyBorder="1" applyAlignment="1">
      <alignment vertical="center"/>
    </xf>
    <xf numFmtId="183" fontId="57" fillId="0" borderId="10" xfId="0" applyNumberFormat="1" applyFont="1" applyFill="1" applyBorder="1" applyAlignment="1">
      <alignment vertical="center" wrapText="1"/>
    </xf>
    <xf numFmtId="0" fontId="25" fillId="0" borderId="10" xfId="0" applyFont="1" applyFill="1" applyBorder="1" applyAlignment="1">
      <alignment vertical="center"/>
    </xf>
    <xf numFmtId="188" fontId="12" fillId="0" borderId="0" xfId="42" applyNumberFormat="1" applyFont="1" applyAlignment="1">
      <alignment vertical="center"/>
    </xf>
    <xf numFmtId="179" fontId="12" fillId="0" borderId="0" xfId="42" applyFont="1" applyAlignment="1">
      <alignment vertical="center"/>
    </xf>
    <xf numFmtId="171" fontId="12" fillId="0" borderId="0" xfId="0" applyNumberFormat="1" applyFont="1" applyAlignment="1">
      <alignment vertical="center"/>
    </xf>
    <xf numFmtId="3" fontId="12" fillId="0" borderId="0" xfId="0" applyNumberFormat="1" applyFont="1" applyFill="1" applyAlignment="1">
      <alignment vertical="center"/>
    </xf>
    <xf numFmtId="3" fontId="0" fillId="0" borderId="0" xfId="0" applyNumberFormat="1" applyFont="1" applyFill="1" applyAlignment="1">
      <alignment vertical="center"/>
    </xf>
    <xf numFmtId="3" fontId="5" fillId="0" borderId="10" xfId="42" applyNumberFormat="1" applyFont="1" applyFill="1" applyBorder="1" applyAlignment="1" applyProtection="1">
      <alignment vertical="center" wrapText="1"/>
      <protection/>
    </xf>
    <xf numFmtId="180" fontId="5" fillId="0" borderId="10" xfId="42" applyNumberFormat="1" applyFont="1" applyFill="1" applyBorder="1" applyAlignment="1">
      <alignment horizontal="right" vertical="center" wrapText="1"/>
    </xf>
    <xf numFmtId="180" fontId="5" fillId="33" borderId="10" xfId="42" applyNumberFormat="1" applyFont="1" applyFill="1" applyBorder="1" applyAlignment="1">
      <alignment horizontal="right" vertical="center" wrapText="1"/>
    </xf>
    <xf numFmtId="180" fontId="25" fillId="0" borderId="10" xfId="42" applyNumberFormat="1" applyFont="1" applyFill="1" applyBorder="1" applyAlignment="1">
      <alignment horizontal="right" vertical="center" wrapText="1"/>
    </xf>
    <xf numFmtId="180" fontId="0" fillId="0" borderId="0" xfId="0" applyNumberFormat="1" applyFont="1" applyFill="1" applyAlignment="1">
      <alignment vertical="center"/>
    </xf>
    <xf numFmtId="3" fontId="0" fillId="35" borderId="0" xfId="0" applyNumberFormat="1" applyFont="1" applyFill="1" applyAlignment="1">
      <alignment vertical="center"/>
    </xf>
    <xf numFmtId="0" fontId="0" fillId="35" borderId="0" xfId="0" applyFont="1" applyFill="1" applyAlignment="1">
      <alignment vertical="center"/>
    </xf>
    <xf numFmtId="3" fontId="25" fillId="33" borderId="10" xfId="42" applyNumberFormat="1" applyFont="1" applyFill="1" applyBorder="1" applyAlignment="1" applyProtection="1">
      <alignment horizontal="right" vertical="center" wrapText="1"/>
      <protection/>
    </xf>
    <xf numFmtId="0" fontId="46" fillId="0" borderId="0" xfId="0" applyFont="1" applyFill="1" applyAlignment="1">
      <alignment vertical="center"/>
    </xf>
    <xf numFmtId="0" fontId="5" fillId="0" borderId="10" xfId="0"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183" fontId="5" fillId="33" borderId="10" xfId="42" applyNumberFormat="1" applyFont="1" applyFill="1" applyBorder="1" applyAlignment="1" applyProtection="1">
      <alignment horizontal="right" vertical="center" wrapText="1"/>
      <protection/>
    </xf>
    <xf numFmtId="183" fontId="0" fillId="0" borderId="0" xfId="0" applyNumberFormat="1" applyFont="1" applyFill="1" applyAlignment="1">
      <alignment vertical="center"/>
    </xf>
    <xf numFmtId="183" fontId="25" fillId="33" borderId="10" xfId="42" applyNumberFormat="1" applyFont="1" applyFill="1" applyBorder="1" applyAlignment="1" applyProtection="1">
      <alignment horizontal="right" vertical="center" wrapText="1"/>
      <protection/>
    </xf>
    <xf numFmtId="183" fontId="57" fillId="33" borderId="10" xfId="0" applyNumberFormat="1" applyFont="1" applyFill="1" applyBorder="1" applyAlignment="1">
      <alignment vertical="center" wrapText="1"/>
    </xf>
    <xf numFmtId="183" fontId="33" fillId="33" borderId="10" xfId="0" applyNumberFormat="1" applyFont="1" applyFill="1" applyBorder="1" applyAlignment="1">
      <alignment vertical="center" wrapText="1"/>
    </xf>
    <xf numFmtId="0" fontId="34" fillId="35" borderId="21" xfId="0" applyFont="1" applyFill="1" applyBorder="1" applyAlignment="1">
      <alignment horizontal="left" vertical="center" wrapText="1"/>
    </xf>
    <xf numFmtId="0" fontId="3" fillId="35" borderId="10" xfId="0" applyFont="1" applyFill="1" applyBorder="1" applyAlignment="1">
      <alignment horizontal="center" vertical="center" wrapText="1"/>
    </xf>
    <xf numFmtId="49" fontId="23" fillId="35" borderId="10" xfId="0" applyNumberFormat="1" applyFont="1" applyFill="1" applyBorder="1" applyAlignment="1" quotePrefix="1">
      <alignment horizontal="left" vertical="center" wrapText="1"/>
    </xf>
    <xf numFmtId="3" fontId="23" fillId="35" borderId="10" xfId="0" applyNumberFormat="1" applyFont="1" applyFill="1" applyBorder="1" applyAlignment="1">
      <alignment horizontal="right" vertical="center" wrapText="1"/>
    </xf>
    <xf numFmtId="3" fontId="23" fillId="35" borderId="10" xfId="42" applyNumberFormat="1" applyFont="1" applyFill="1" applyBorder="1" applyAlignment="1" applyProtection="1">
      <alignment horizontal="right" vertical="center" wrapText="1"/>
      <protection/>
    </xf>
    <xf numFmtId="3" fontId="11" fillId="35" borderId="10" xfId="42" applyNumberFormat="1" applyFont="1" applyFill="1" applyBorder="1" applyAlignment="1" applyProtection="1">
      <alignment horizontal="right" vertical="center" wrapText="1"/>
      <protection/>
    </xf>
    <xf numFmtId="3" fontId="11" fillId="35" borderId="0" xfId="42" applyNumberFormat="1" applyFont="1" applyFill="1" applyBorder="1" applyAlignment="1" applyProtection="1">
      <alignment horizontal="right" vertical="center" wrapText="1"/>
      <protection/>
    </xf>
    <xf numFmtId="0" fontId="23" fillId="35" borderId="10" xfId="0" applyFont="1" applyFill="1" applyBorder="1" applyAlignment="1">
      <alignment horizontal="center" vertical="center" wrapText="1"/>
    </xf>
    <xf numFmtId="49" fontId="3" fillId="35" borderId="10" xfId="0" applyNumberFormat="1" applyFont="1" applyFill="1" applyBorder="1" applyAlignment="1">
      <alignment horizontal="left" vertical="center" wrapText="1"/>
    </xf>
    <xf numFmtId="3" fontId="3" fillId="35" borderId="10" xfId="42" applyNumberFormat="1" applyFont="1" applyFill="1" applyBorder="1" applyAlignment="1" applyProtection="1">
      <alignment horizontal="right" vertical="center" wrapText="1"/>
      <protection/>
    </xf>
    <xf numFmtId="3" fontId="3" fillId="35" borderId="10" xfId="0" applyNumberFormat="1" applyFont="1" applyFill="1" applyBorder="1" applyAlignment="1" quotePrefix="1">
      <alignment horizontal="right" vertical="center" wrapText="1"/>
    </xf>
    <xf numFmtId="3" fontId="15" fillId="33" borderId="10" xfId="0" applyNumberFormat="1" applyFont="1" applyFill="1" applyBorder="1" applyAlignment="1">
      <alignment horizontal="center" vertical="center" wrapText="1"/>
    </xf>
    <xf numFmtId="3" fontId="17" fillId="33" borderId="10" xfId="0" applyNumberFormat="1" applyFont="1" applyFill="1" applyBorder="1" applyAlignment="1">
      <alignment horizontal="right" vertical="center" wrapText="1"/>
    </xf>
    <xf numFmtId="3" fontId="7" fillId="35" borderId="10" xfId="0" applyNumberFormat="1" applyFont="1" applyFill="1" applyBorder="1" applyAlignment="1">
      <alignment horizontal="center" vertical="center" wrapText="1"/>
    </xf>
    <xf numFmtId="3" fontId="7" fillId="35" borderId="10" xfId="42" applyNumberFormat="1" applyFont="1" applyFill="1" applyBorder="1" applyAlignment="1">
      <alignment horizontal="right" vertical="center"/>
    </xf>
    <xf numFmtId="0" fontId="7" fillId="35" borderId="0" xfId="0" applyFont="1" applyFill="1" applyAlignment="1">
      <alignment vertical="center"/>
    </xf>
    <xf numFmtId="0" fontId="17" fillId="33" borderId="10" xfId="0" applyFont="1" applyFill="1" applyBorder="1" applyAlignment="1">
      <alignment vertical="center"/>
    </xf>
    <xf numFmtId="0" fontId="17" fillId="0" borderId="10" xfId="0" applyFont="1" applyFill="1" applyBorder="1" applyAlignment="1">
      <alignment horizontal="left" vertical="center"/>
    </xf>
    <xf numFmtId="0" fontId="17" fillId="35" borderId="10" xfId="0" applyFont="1" applyFill="1" applyBorder="1" applyAlignment="1">
      <alignment vertical="center"/>
    </xf>
    <xf numFmtId="3" fontId="35" fillId="33" borderId="10" xfId="42" applyNumberFormat="1" applyFont="1" applyFill="1" applyBorder="1" applyAlignment="1">
      <alignment horizontal="right" vertical="center" wrapText="1"/>
    </xf>
    <xf numFmtId="0" fontId="17" fillId="0" borderId="10" xfId="0" applyFont="1" applyFill="1" applyBorder="1" applyAlignment="1">
      <alignment horizontal="right" vertical="center"/>
    </xf>
    <xf numFmtId="3" fontId="17" fillId="0" borderId="10" xfId="0" applyNumberFormat="1" applyFont="1" applyFill="1" applyBorder="1" applyAlignment="1">
      <alignment vertical="center"/>
    </xf>
    <xf numFmtId="3" fontId="17" fillId="0" borderId="10" xfId="0" applyNumberFormat="1" applyFont="1" applyFill="1" applyBorder="1" applyAlignment="1">
      <alignment horizontal="right" vertical="center"/>
    </xf>
    <xf numFmtId="3" fontId="17" fillId="0" borderId="10" xfId="0" applyNumberFormat="1" applyFont="1" applyFill="1" applyBorder="1" applyAlignment="1">
      <alignment horizontal="right" vertical="center" wrapText="1"/>
    </xf>
    <xf numFmtId="3" fontId="17" fillId="35" borderId="10" xfId="0" applyNumberFormat="1" applyFont="1" applyFill="1" applyBorder="1" applyAlignment="1">
      <alignment horizontal="right" vertical="center" wrapText="1"/>
    </xf>
    <xf numFmtId="0" fontId="5" fillId="35" borderId="0" xfId="0" applyFont="1" applyFill="1" applyBorder="1" applyAlignment="1">
      <alignment horizontal="center"/>
    </xf>
    <xf numFmtId="0" fontId="33" fillId="35" borderId="0" xfId="0" applyFont="1" applyFill="1" applyBorder="1" applyAlignment="1">
      <alignment horizontal="center"/>
    </xf>
    <xf numFmtId="0" fontId="7" fillId="35" borderId="10" xfId="0" applyFont="1" applyFill="1" applyBorder="1" applyAlignment="1">
      <alignment horizontal="center" vertical="center" wrapText="1"/>
    </xf>
    <xf numFmtId="0" fontId="34" fillId="0" borderId="0" xfId="0" applyFont="1" applyAlignment="1">
      <alignment horizontal="right" vertical="center"/>
    </xf>
    <xf numFmtId="0" fontId="20" fillId="0" borderId="0" xfId="0" applyFont="1" applyFill="1" applyBorder="1" applyAlignment="1">
      <alignment horizontal="center" vertical="center" wrapText="1"/>
    </xf>
    <xf numFmtId="3" fontId="95" fillId="0" borderId="0" xfId="64" applyNumberFormat="1" applyFont="1" applyAlignment="1">
      <alignment vertical="center"/>
      <protection/>
    </xf>
    <xf numFmtId="0" fontId="11" fillId="0" borderId="10" xfId="0" applyFont="1" applyFill="1" applyBorder="1" applyAlignment="1">
      <alignment horizontal="center" vertical="center"/>
    </xf>
    <xf numFmtId="0" fontId="20" fillId="0" borderId="0" xfId="0" applyFont="1" applyBorder="1" applyAlignment="1">
      <alignment horizontal="center" vertical="center"/>
    </xf>
    <xf numFmtId="0" fontId="5" fillId="0" borderId="0" xfId="0" applyFont="1" applyAlignment="1">
      <alignment horizontal="center" vertical="center"/>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Border="1" applyAlignment="1">
      <alignment horizontal="center" vertical="center"/>
    </xf>
    <xf numFmtId="3" fontId="34" fillId="0" borderId="11" xfId="42" applyNumberFormat="1" applyFont="1" applyFill="1" applyBorder="1" applyAlignment="1" applyProtection="1">
      <alignment horizontal="right" vertical="center"/>
      <protection/>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35" borderId="0" xfId="0" applyFont="1" applyFill="1" applyBorder="1" applyAlignment="1">
      <alignment horizontal="center"/>
    </xf>
    <xf numFmtId="0" fontId="33" fillId="35" borderId="0" xfId="0" applyFont="1" applyFill="1" applyBorder="1" applyAlignment="1">
      <alignment horizontal="center"/>
    </xf>
    <xf numFmtId="0" fontId="34" fillId="35" borderId="11" xfId="0" applyFont="1" applyFill="1" applyBorder="1" applyAlignment="1">
      <alignment horizontal="right"/>
    </xf>
    <xf numFmtId="3" fontId="11" fillId="0" borderId="10"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71" applyFont="1" applyFill="1" applyBorder="1" applyAlignment="1">
      <alignment horizontal="center" vertical="center" wrapText="1"/>
      <protection/>
    </xf>
    <xf numFmtId="0" fontId="7" fillId="33" borderId="0" xfId="0" applyFont="1" applyFill="1" applyBorder="1" applyAlignment="1">
      <alignment horizontal="center" vertical="center"/>
    </xf>
    <xf numFmtId="3" fontId="15" fillId="0" borderId="16"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0" xfId="0" applyFont="1" applyFill="1" applyBorder="1" applyAlignment="1">
      <alignment horizontal="center" vertical="center"/>
    </xf>
    <xf numFmtId="0" fontId="11" fillId="0" borderId="0" xfId="0" applyFont="1" applyFill="1" applyAlignment="1">
      <alignment horizontal="center" vertical="center"/>
    </xf>
    <xf numFmtId="0" fontId="5" fillId="0" borderId="0" xfId="0" applyFont="1" applyFill="1" applyBorder="1" applyAlignment="1">
      <alignment horizontal="center" vertical="center"/>
    </xf>
    <xf numFmtId="0" fontId="33" fillId="0" borderId="0" xfId="0" applyFont="1" applyFill="1" applyBorder="1" applyAlignment="1">
      <alignment horizontal="center" vertical="center"/>
    </xf>
    <xf numFmtId="3" fontId="11" fillId="35" borderId="10" xfId="0" applyNumberFormat="1" applyFont="1" applyFill="1" applyBorder="1" applyAlignment="1">
      <alignment horizontal="center" vertical="center" wrapText="1"/>
    </xf>
    <xf numFmtId="0" fontId="33" fillId="33" borderId="0" xfId="0" applyFont="1" applyFill="1" applyAlignment="1">
      <alignment horizontal="center" vertical="center"/>
    </xf>
    <xf numFmtId="3" fontId="7" fillId="35" borderId="10" xfId="0" applyNumberFormat="1"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3" fontId="7" fillId="33" borderId="16" xfId="0" applyNumberFormat="1" applyFont="1" applyFill="1" applyBorder="1" applyAlignment="1">
      <alignment horizontal="center" vertical="center" wrapText="1"/>
    </xf>
    <xf numFmtId="3" fontId="7" fillId="33" borderId="26" xfId="0" applyNumberFormat="1" applyFont="1" applyFill="1" applyBorder="1" applyAlignment="1">
      <alignment horizontal="center" vertical="center" wrapText="1"/>
    </xf>
    <xf numFmtId="3" fontId="7" fillId="33" borderId="15"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34" fillId="33" borderId="11" xfId="0" applyFont="1" applyFill="1" applyBorder="1" applyAlignment="1">
      <alignment horizontal="right" vertical="center"/>
    </xf>
    <xf numFmtId="0" fontId="35" fillId="33" borderId="12" xfId="0" applyFont="1" applyFill="1" applyBorder="1" applyAlignment="1">
      <alignment horizontal="center" vertical="center" wrapText="1"/>
    </xf>
    <xf numFmtId="0" fontId="35" fillId="33" borderId="13" xfId="0" applyFont="1" applyFill="1" applyBorder="1" applyAlignment="1">
      <alignment horizontal="center" vertical="center" wrapText="1"/>
    </xf>
    <xf numFmtId="0" fontId="7" fillId="33" borderId="16" xfId="71" applyFont="1" applyFill="1" applyBorder="1" applyAlignment="1">
      <alignment horizontal="center" vertical="center" wrapText="1"/>
      <protection/>
    </xf>
    <xf numFmtId="0" fontId="7" fillId="33" borderId="26" xfId="71" applyFont="1" applyFill="1" applyBorder="1" applyAlignment="1">
      <alignment horizontal="center" vertical="center" wrapText="1"/>
      <protection/>
    </xf>
    <xf numFmtId="0" fontId="7" fillId="33" borderId="15" xfId="71" applyFont="1" applyFill="1" applyBorder="1" applyAlignment="1">
      <alignment horizontal="center" vertical="center" wrapText="1"/>
      <protection/>
    </xf>
    <xf numFmtId="0" fontId="7" fillId="33" borderId="10" xfId="0" applyFont="1" applyFill="1" applyBorder="1" applyAlignment="1">
      <alignment horizontal="center" vertical="center"/>
    </xf>
    <xf numFmtId="0" fontId="5" fillId="33" borderId="0" xfId="0" applyFont="1" applyFill="1" applyBorder="1" applyAlignment="1">
      <alignment horizontal="center" vertical="center"/>
    </xf>
    <xf numFmtId="0" fontId="7" fillId="0" borderId="16" xfId="71" applyFont="1" applyFill="1" applyBorder="1" applyAlignment="1">
      <alignment horizontal="center" vertical="center" wrapText="1"/>
      <protection/>
    </xf>
    <xf numFmtId="0" fontId="7" fillId="0" borderId="26" xfId="71" applyFont="1" applyFill="1" applyBorder="1" applyAlignment="1">
      <alignment horizontal="center" vertical="center" wrapText="1"/>
      <protection/>
    </xf>
    <xf numFmtId="0" fontId="7" fillId="0" borderId="15" xfId="71" applyFont="1" applyFill="1" applyBorder="1" applyAlignment="1">
      <alignment horizontal="center" vertical="center" wrapText="1"/>
      <protection/>
    </xf>
    <xf numFmtId="0" fontId="5" fillId="33"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79" fontId="7" fillId="0" borderId="10" xfId="42" applyFont="1" applyFill="1" applyBorder="1" applyAlignment="1">
      <alignment horizontal="center" vertical="center" wrapText="1"/>
    </xf>
    <xf numFmtId="0" fontId="5" fillId="0" borderId="0" xfId="0" applyFont="1" applyFill="1" applyAlignment="1">
      <alignment horizontal="center" vertical="center"/>
    </xf>
    <xf numFmtId="0" fontId="5" fillId="0" borderId="0" xfId="71" applyFont="1" applyFill="1" applyAlignment="1">
      <alignment horizontal="center" vertical="center"/>
      <protection/>
    </xf>
    <xf numFmtId="0" fontId="33" fillId="0" borderId="0" xfId="71" applyFont="1" applyFill="1" applyAlignment="1">
      <alignment horizontal="center" vertical="center"/>
      <protection/>
    </xf>
    <xf numFmtId="0" fontId="7" fillId="32" borderId="16" xfId="71" applyFont="1" applyFill="1" applyBorder="1" applyAlignment="1">
      <alignment horizontal="center" vertical="center" wrapText="1"/>
      <protection/>
    </xf>
    <xf numFmtId="0" fontId="7" fillId="32" borderId="26" xfId="71" applyFont="1" applyFill="1" applyBorder="1" applyAlignment="1">
      <alignment horizontal="center" vertical="center" wrapText="1"/>
      <protection/>
    </xf>
    <xf numFmtId="0" fontId="7" fillId="32" borderId="15" xfId="71" applyFont="1" applyFill="1" applyBorder="1" applyAlignment="1">
      <alignment horizontal="center" vertical="center" wrapText="1"/>
      <protection/>
    </xf>
    <xf numFmtId="0" fontId="34" fillId="0" borderId="11" xfId="0" applyFont="1" applyFill="1" applyBorder="1" applyAlignment="1">
      <alignment horizontal="right" vertical="center"/>
    </xf>
    <xf numFmtId="0" fontId="7" fillId="0" borderId="1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65" applyFont="1" applyFill="1" applyBorder="1" applyAlignment="1">
      <alignment horizontal="center" vertical="center" wrapText="1"/>
      <protection/>
    </xf>
    <xf numFmtId="0" fontId="4" fillId="0" borderId="15" xfId="65" applyFont="1" applyFill="1" applyBorder="1" applyAlignment="1">
      <alignment horizontal="center" vertical="center" wrapText="1"/>
      <protection/>
    </xf>
    <xf numFmtId="0" fontId="4" fillId="0" borderId="21" xfId="65" applyFont="1" applyFill="1" applyBorder="1" applyAlignment="1">
      <alignment horizontal="center" vertical="center" wrapText="1"/>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188" fontId="4" fillId="0" borderId="21" xfId="46" applyNumberFormat="1" applyFont="1" applyFill="1" applyBorder="1" applyAlignment="1">
      <alignment horizontal="center" vertical="center" wrapText="1"/>
    </xf>
    <xf numFmtId="188" fontId="4" fillId="0" borderId="12" xfId="46" applyNumberFormat="1" applyFont="1" applyFill="1" applyBorder="1" applyAlignment="1">
      <alignment horizontal="center" vertical="center" wrapText="1"/>
    </xf>
    <xf numFmtId="188" fontId="4" fillId="0" borderId="13" xfId="46" applyNumberFormat="1" applyFont="1" applyFill="1" applyBorder="1" applyAlignment="1">
      <alignment horizontal="center" vertical="center" wrapText="1"/>
    </xf>
    <xf numFmtId="0" fontId="5" fillId="0" borderId="0" xfId="65" applyFont="1" applyFill="1" applyAlignment="1">
      <alignment horizontal="center"/>
      <protection/>
    </xf>
    <xf numFmtId="188" fontId="11" fillId="0" borderId="10" xfId="46" applyNumberFormat="1" applyFont="1" applyFill="1" applyBorder="1" applyAlignment="1">
      <alignment horizontal="center" vertical="center" wrapText="1"/>
    </xf>
    <xf numFmtId="0" fontId="34" fillId="0" borderId="11" xfId="65" applyFont="1" applyFill="1" applyBorder="1" applyAlignment="1">
      <alignment horizontal="center"/>
      <protection/>
    </xf>
    <xf numFmtId="0" fontId="33" fillId="0" borderId="0" xfId="65" applyFont="1" applyFill="1" applyAlignment="1">
      <alignment horizontal="center"/>
      <protection/>
    </xf>
    <xf numFmtId="190" fontId="17" fillId="33" borderId="11" xfId="48" applyNumberFormat="1" applyFont="1" applyFill="1" applyBorder="1" applyAlignment="1">
      <alignment horizontal="center" vertical="center"/>
    </xf>
    <xf numFmtId="0" fontId="11" fillId="33" borderId="0" xfId="69" applyFont="1" applyFill="1" applyAlignment="1">
      <alignment horizontal="center" vertical="center"/>
      <protection/>
    </xf>
    <xf numFmtId="0" fontId="3" fillId="33" borderId="0" xfId="69" applyFont="1" applyFill="1" applyAlignment="1">
      <alignment horizontal="center" vertical="center"/>
      <protection/>
    </xf>
    <xf numFmtId="0" fontId="5" fillId="33" borderId="0" xfId="69" applyFont="1" applyFill="1" applyAlignment="1">
      <alignment horizontal="center" vertical="center"/>
      <protection/>
    </xf>
    <xf numFmtId="3" fontId="33" fillId="33" borderId="0" xfId="66" applyNumberFormat="1" applyFont="1" applyFill="1" applyAlignment="1">
      <alignment horizontal="center" vertical="center"/>
      <protection/>
    </xf>
    <xf numFmtId="0" fontId="52" fillId="33" borderId="10" xfId="69" applyFont="1" applyFill="1" applyBorder="1" applyAlignment="1">
      <alignment horizontal="center" vertical="center" wrapText="1"/>
      <protection/>
    </xf>
    <xf numFmtId="0" fontId="9" fillId="33" borderId="10" xfId="69" applyFont="1" applyFill="1" applyBorder="1" applyAlignment="1">
      <alignment horizontal="center" vertical="center" wrapText="1"/>
      <protection/>
    </xf>
    <xf numFmtId="3" fontId="8" fillId="0" borderId="10" xfId="73" applyNumberFormat="1" applyFont="1" applyFill="1" applyBorder="1" applyAlignment="1">
      <alignment horizontal="center" vertical="center" wrapText="1"/>
      <protection/>
    </xf>
    <xf numFmtId="0" fontId="7" fillId="0" borderId="0" xfId="0" applyFont="1" applyAlignment="1" quotePrefix="1">
      <alignment horizontal="left" wrapText="1"/>
    </xf>
    <xf numFmtId="3" fontId="7" fillId="0" borderId="10" xfId="73" applyNumberFormat="1" applyFont="1" applyFill="1" applyBorder="1" applyAlignment="1">
      <alignment horizontal="center" vertical="center" wrapText="1"/>
      <protection/>
    </xf>
    <xf numFmtId="3" fontId="9" fillId="0" borderId="10" xfId="73" applyNumberFormat="1" applyFont="1" applyFill="1" applyBorder="1" applyAlignment="1">
      <alignment horizontal="center" vertical="center" wrapText="1"/>
      <protection/>
    </xf>
    <xf numFmtId="180" fontId="8" fillId="0" borderId="10" xfId="42" applyNumberFormat="1" applyFont="1" applyFill="1" applyBorder="1" applyAlignment="1">
      <alignment horizontal="center" vertical="center" wrapText="1"/>
    </xf>
    <xf numFmtId="0" fontId="3" fillId="0" borderId="0" xfId="66" applyFont="1" applyFill="1" applyAlignment="1">
      <alignment horizontal="center"/>
      <protection/>
    </xf>
    <xf numFmtId="3" fontId="11" fillId="0" borderId="0" xfId="66" applyNumberFormat="1" applyFont="1" applyFill="1" applyAlignment="1">
      <alignment horizontal="center"/>
      <protection/>
    </xf>
    <xf numFmtId="0" fontId="11" fillId="0" borderId="0" xfId="66" applyFont="1" applyFill="1" applyAlignment="1">
      <alignment horizontal="center"/>
      <protection/>
    </xf>
    <xf numFmtId="3" fontId="5" fillId="0" borderId="0" xfId="66" applyNumberFormat="1" applyFont="1" applyFill="1" applyAlignment="1">
      <alignment horizontal="center"/>
      <protection/>
    </xf>
    <xf numFmtId="3" fontId="33" fillId="33" borderId="0" xfId="66" applyNumberFormat="1" applyFont="1" applyFill="1" applyAlignment="1">
      <alignment horizontal="center"/>
      <protection/>
    </xf>
    <xf numFmtId="3" fontId="7" fillId="0" borderId="16" xfId="73" applyNumberFormat="1" applyFont="1" applyFill="1" applyBorder="1" applyAlignment="1">
      <alignment horizontal="center" vertical="center" wrapText="1"/>
      <protection/>
    </xf>
    <xf numFmtId="3" fontId="7" fillId="0" borderId="15" xfId="73" applyNumberFormat="1" applyFont="1" applyFill="1" applyBorder="1" applyAlignment="1">
      <alignment horizontal="center" vertical="center" wrapText="1"/>
      <protection/>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6"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1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3" fontId="11" fillId="0" borderId="10" xfId="42"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6"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31" xfId="0" applyNumberFormat="1" applyFont="1" applyBorder="1" applyAlignment="1">
      <alignment horizontal="center" vertical="center" wrapText="1"/>
    </xf>
    <xf numFmtId="0" fontId="11" fillId="0" borderId="32" xfId="0" applyNumberFormat="1" applyFont="1" applyBorder="1" applyAlignment="1">
      <alignment horizontal="center" vertical="center" wrapText="1"/>
    </xf>
    <xf numFmtId="0" fontId="11" fillId="0" borderId="33"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11" fillId="0" borderId="30" xfId="0" applyNumberFormat="1" applyFont="1" applyBorder="1" applyAlignment="1">
      <alignment horizontal="center" vertical="center" wrapText="1"/>
    </xf>
    <xf numFmtId="0" fontId="11" fillId="0" borderId="27" xfId="0" applyNumberFormat="1" applyFont="1" applyBorder="1" applyAlignment="1">
      <alignment horizontal="center" vertical="center" wrapText="1"/>
    </xf>
    <xf numFmtId="0" fontId="11" fillId="0" borderId="12" xfId="0" applyNumberFormat="1" applyFont="1" applyBorder="1" applyAlignment="1">
      <alignment horizontal="center"/>
    </xf>
    <xf numFmtId="0" fontId="11" fillId="0" borderId="13" xfId="0" applyNumberFormat="1" applyFont="1" applyBorder="1" applyAlignment="1">
      <alignment horizontal="center"/>
    </xf>
    <xf numFmtId="0" fontId="11" fillId="0" borderId="21"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5" fillId="0" borderId="0" xfId="0" applyFont="1" applyAlignment="1">
      <alignment horizontal="center"/>
    </xf>
    <xf numFmtId="0" fontId="11" fillId="0" borderId="10" xfId="0" applyNumberFormat="1" applyFont="1" applyFill="1" applyBorder="1" applyAlignment="1">
      <alignment horizontal="center" vertical="center" wrapText="1"/>
    </xf>
    <xf numFmtId="0" fontId="11" fillId="0" borderId="21" xfId="0" applyFont="1" applyBorder="1" applyAlignment="1">
      <alignment horizontal="center"/>
    </xf>
    <xf numFmtId="0" fontId="11" fillId="0" borderId="13" xfId="0" applyFont="1" applyBorder="1" applyAlignment="1">
      <alignment horizontal="center"/>
    </xf>
    <xf numFmtId="0" fontId="11" fillId="0" borderId="21"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3" fillId="0" borderId="0" xfId="69" applyFont="1" applyAlignment="1">
      <alignment horizontal="center"/>
      <protection/>
    </xf>
    <xf numFmtId="0" fontId="25" fillId="0" borderId="11" xfId="0" applyFont="1" applyBorder="1" applyAlignment="1">
      <alignment horizontal="center"/>
    </xf>
    <xf numFmtId="3" fontId="20" fillId="0" borderId="11" xfId="66" applyNumberFormat="1" applyFont="1" applyFill="1" applyBorder="1" applyAlignment="1">
      <alignment horizontal="center"/>
      <protection/>
    </xf>
    <xf numFmtId="0" fontId="33" fillId="0" borderId="0" xfId="69" applyFont="1" applyAlignment="1">
      <alignment horizontal="center"/>
      <protection/>
    </xf>
    <xf numFmtId="0" fontId="11" fillId="0" borderId="31" xfId="0" applyFont="1" applyBorder="1" applyAlignment="1">
      <alignment horizontal="center" vertical="center" wrapText="1"/>
    </xf>
    <xf numFmtId="0" fontId="11" fillId="0" borderId="33" xfId="0" applyFont="1" applyBorder="1" applyAlignment="1">
      <alignment horizontal="center" vertical="center" wrapText="1"/>
    </xf>
    <xf numFmtId="0" fontId="33" fillId="0" borderId="0" xfId="64" applyFont="1" applyFill="1" applyBorder="1" applyAlignment="1">
      <alignment horizontal="center" vertical="center"/>
      <protection/>
    </xf>
    <xf numFmtId="0" fontId="5" fillId="0" borderId="0" xfId="64" applyFont="1" applyAlignment="1">
      <alignment horizontal="center" vertical="center"/>
      <protection/>
    </xf>
    <xf numFmtId="0" fontId="25" fillId="0" borderId="0" xfId="64" applyFont="1" applyAlignment="1">
      <alignment horizontal="center" vertical="center"/>
      <protection/>
    </xf>
    <xf numFmtId="0" fontId="11" fillId="0" borderId="0" xfId="0" applyFont="1" applyAlignment="1">
      <alignment horizontal="center" vertical="center"/>
    </xf>
    <xf numFmtId="0" fontId="11" fillId="33"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34" fillId="0" borderId="0" xfId="0" applyFont="1" applyAlignment="1">
      <alignment horizontal="center" vertical="center"/>
    </xf>
    <xf numFmtId="0" fontId="4" fillId="0" borderId="2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1" xfId="0" applyFont="1" applyBorder="1" applyAlignment="1">
      <alignment horizontal="left" vertical="center" wrapText="1"/>
    </xf>
    <xf numFmtId="0" fontId="4" fillId="0" borderId="13" xfId="0" applyFont="1" applyBorder="1" applyAlignment="1">
      <alignment horizontal="left" vertical="center" wrapText="1"/>
    </xf>
    <xf numFmtId="0" fontId="34"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1" fillId="0" borderId="21"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20" fillId="0" borderId="0" xfId="0" applyFont="1" applyAlignment="1">
      <alignment horizontal="center" vertical="center" wrapText="1"/>
    </xf>
    <xf numFmtId="180" fontId="11" fillId="0" borderId="21" xfId="42" applyNumberFormat="1" applyFont="1" applyBorder="1" applyAlignment="1">
      <alignment horizontal="center" vertical="center"/>
    </xf>
    <xf numFmtId="180" fontId="11" fillId="0" borderId="13" xfId="42" applyNumberFormat="1" applyFont="1" applyBorder="1" applyAlignment="1">
      <alignment horizontal="center" vertical="center"/>
    </xf>
    <xf numFmtId="0" fontId="25" fillId="0" borderId="10" xfId="7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3" fontId="5" fillId="0" borderId="10" xfId="0" applyNumberFormat="1" applyFont="1" applyFill="1" applyBorder="1" applyAlignment="1">
      <alignment horizontal="center" vertical="center" wrapText="1"/>
    </xf>
    <xf numFmtId="180" fontId="17" fillId="0" borderId="11" xfId="42" applyNumberFormat="1" applyFont="1" applyBorder="1" applyAlignment="1">
      <alignment horizontal="right" vertical="center"/>
    </xf>
    <xf numFmtId="0" fontId="5" fillId="0" borderId="21" xfId="71" applyFont="1" applyFill="1" applyBorder="1" applyAlignment="1">
      <alignment horizontal="center" vertical="center" wrapText="1"/>
      <protection/>
    </xf>
    <xf numFmtId="0" fontId="5" fillId="0" borderId="13" xfId="71" applyFont="1" applyFill="1" applyBorder="1" applyAlignment="1">
      <alignment horizontal="center" vertical="center" wrapText="1"/>
      <protection/>
    </xf>
    <xf numFmtId="180" fontId="34" fillId="0" borderId="11" xfId="42" applyNumberFormat="1" applyFont="1" applyBorder="1" applyAlignment="1">
      <alignment horizontal="center" vertical="center"/>
    </xf>
    <xf numFmtId="0" fontId="5" fillId="0" borderId="16" xfId="71" applyFont="1" applyFill="1" applyBorder="1" applyAlignment="1">
      <alignment horizontal="center" vertical="center" wrapText="1"/>
      <protection/>
    </xf>
    <xf numFmtId="0" fontId="5" fillId="0" borderId="15" xfId="71"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chi tiet mot so chi tieu trong DT 2015" xfId="46"/>
    <cellStyle name="Comma_Du thao Du toan chi 2015" xfId="47"/>
    <cellStyle name="Comma_DU TOAN THU 2017 (20 11 201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3" xfId="62"/>
    <cellStyle name="Normal 16" xfId="63"/>
    <cellStyle name="Normal 3_biểu PHUONG ÁN GIAO DỰ TOÁN 2017 (30 11 2016)" xfId="64"/>
    <cellStyle name="Normal_chi tiet mot so chi tieu trong DT 2015" xfId="65"/>
    <cellStyle name="Normal_Du thao Du toan chi 2015" xfId="66"/>
    <cellStyle name="Normal_DU TOAN  2011" xfId="67"/>
    <cellStyle name="Normal_Du Toan Dang bo cac Khoi 2016" xfId="68"/>
    <cellStyle name="Normal_DU TOAN THU 2017 (20 11 2016)" xfId="69"/>
    <cellStyle name="Normal_DU TOAN THU 2017 (5)" xfId="70"/>
    <cellStyle name="Normal_PHAN BO DU TOAN THU CHI SU NGHIEP NAM 2015 PTC (2)" xfId="71"/>
    <cellStyle name="Normal_Sheet1" xfId="72"/>
    <cellStyle name="Normal_Tien do Thu" xfId="73"/>
    <cellStyle name="Normal_tỉnh giao 2011"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28575</xdr:rowOff>
    </xdr:from>
    <xdr:to>
      <xdr:col>1</xdr:col>
      <xdr:colOff>1171575</xdr:colOff>
      <xdr:row>2</xdr:row>
      <xdr:rowOff>28575</xdr:rowOff>
    </xdr:to>
    <xdr:sp>
      <xdr:nvSpPr>
        <xdr:cNvPr id="1" name="Line 1"/>
        <xdr:cNvSpPr>
          <a:spLocks/>
        </xdr:cNvSpPr>
      </xdr:nvSpPr>
      <xdr:spPr>
        <a:xfrm>
          <a:off x="276225" y="447675"/>
          <a:ext cx="1304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0</xdr:colOff>
      <xdr:row>2</xdr:row>
      <xdr:rowOff>9525</xdr:rowOff>
    </xdr:to>
    <xdr:sp>
      <xdr:nvSpPr>
        <xdr:cNvPr id="1"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3"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4"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5"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6"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7"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8"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9"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0"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1"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2"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3"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4"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5"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6"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7"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8"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9"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xdr:row>
      <xdr:rowOff>19050</xdr:rowOff>
    </xdr:to>
    <xdr:sp>
      <xdr:nvSpPr>
        <xdr:cNvPr id="20" name="Line 2"/>
        <xdr:cNvSpPr>
          <a:spLocks/>
        </xdr:cNvSpPr>
      </xdr:nvSpPr>
      <xdr:spPr>
        <a:xfrm>
          <a:off x="0" y="46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1"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2"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3"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2</xdr:row>
      <xdr:rowOff>9525</xdr:rowOff>
    </xdr:from>
    <xdr:to>
      <xdr:col>1</xdr:col>
      <xdr:colOff>847725</xdr:colOff>
      <xdr:row>2</xdr:row>
      <xdr:rowOff>9525</xdr:rowOff>
    </xdr:to>
    <xdr:sp>
      <xdr:nvSpPr>
        <xdr:cNvPr id="24" name="Line 2"/>
        <xdr:cNvSpPr>
          <a:spLocks/>
        </xdr:cNvSpPr>
      </xdr:nvSpPr>
      <xdr:spPr>
        <a:xfrm>
          <a:off x="352425" y="4572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5" name="Line 5"/>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6"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7"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2</xdr:row>
      <xdr:rowOff>9525</xdr:rowOff>
    </xdr:from>
    <xdr:to>
      <xdr:col>1</xdr:col>
      <xdr:colOff>847725</xdr:colOff>
      <xdr:row>2</xdr:row>
      <xdr:rowOff>9525</xdr:rowOff>
    </xdr:to>
    <xdr:sp>
      <xdr:nvSpPr>
        <xdr:cNvPr id="28" name="Line 2"/>
        <xdr:cNvSpPr>
          <a:spLocks/>
        </xdr:cNvSpPr>
      </xdr:nvSpPr>
      <xdr:spPr>
        <a:xfrm>
          <a:off x="352425" y="4572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9" name="Line 5"/>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30"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31"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xdr:row>
      <xdr:rowOff>28575</xdr:rowOff>
    </xdr:from>
    <xdr:to>
      <xdr:col>1</xdr:col>
      <xdr:colOff>1028700</xdr:colOff>
      <xdr:row>4</xdr:row>
      <xdr:rowOff>28575</xdr:rowOff>
    </xdr:to>
    <xdr:sp>
      <xdr:nvSpPr>
        <xdr:cNvPr id="1" name="Line 1"/>
        <xdr:cNvSpPr>
          <a:spLocks/>
        </xdr:cNvSpPr>
      </xdr:nvSpPr>
      <xdr:spPr>
        <a:xfrm>
          <a:off x="228600" y="5143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28575</xdr:rowOff>
    </xdr:from>
    <xdr:to>
      <xdr:col>2</xdr:col>
      <xdr:colOff>161925</xdr:colOff>
      <xdr:row>2</xdr:row>
      <xdr:rowOff>28575</xdr:rowOff>
    </xdr:to>
    <xdr:sp>
      <xdr:nvSpPr>
        <xdr:cNvPr id="1" name="Line 3"/>
        <xdr:cNvSpPr>
          <a:spLocks/>
        </xdr:cNvSpPr>
      </xdr:nvSpPr>
      <xdr:spPr>
        <a:xfrm>
          <a:off x="314325" y="428625"/>
          <a:ext cx="1104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19050</xdr:rowOff>
    </xdr:from>
    <xdr:to>
      <xdr:col>1</xdr:col>
      <xdr:colOff>1352550</xdr:colOff>
      <xdr:row>2</xdr:row>
      <xdr:rowOff>19050</xdr:rowOff>
    </xdr:to>
    <xdr:sp>
      <xdr:nvSpPr>
        <xdr:cNvPr id="1" name="Line 1"/>
        <xdr:cNvSpPr>
          <a:spLocks/>
        </xdr:cNvSpPr>
      </xdr:nvSpPr>
      <xdr:spPr>
        <a:xfrm>
          <a:off x="257175" y="43815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xdr:row>
      <xdr:rowOff>19050</xdr:rowOff>
    </xdr:from>
    <xdr:to>
      <xdr:col>1</xdr:col>
      <xdr:colOff>1352550</xdr:colOff>
      <xdr:row>2</xdr:row>
      <xdr:rowOff>19050</xdr:rowOff>
    </xdr:to>
    <xdr:sp>
      <xdr:nvSpPr>
        <xdr:cNvPr id="2" name="Line 1"/>
        <xdr:cNvSpPr>
          <a:spLocks/>
        </xdr:cNvSpPr>
      </xdr:nvSpPr>
      <xdr:spPr>
        <a:xfrm>
          <a:off x="257175" y="43815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38100</xdr:rowOff>
    </xdr:from>
    <xdr:to>
      <xdr:col>1</xdr:col>
      <xdr:colOff>1171575</xdr:colOff>
      <xdr:row>2</xdr:row>
      <xdr:rowOff>38100</xdr:rowOff>
    </xdr:to>
    <xdr:sp>
      <xdr:nvSpPr>
        <xdr:cNvPr id="1" name="Line 1"/>
        <xdr:cNvSpPr>
          <a:spLocks/>
        </xdr:cNvSpPr>
      </xdr:nvSpPr>
      <xdr:spPr>
        <a:xfrm>
          <a:off x="257175" y="51435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38100</xdr:rowOff>
    </xdr:from>
    <xdr:to>
      <xdr:col>1</xdr:col>
      <xdr:colOff>1200150</xdr:colOff>
      <xdr:row>2</xdr:row>
      <xdr:rowOff>38100</xdr:rowOff>
    </xdr:to>
    <xdr:sp>
      <xdr:nvSpPr>
        <xdr:cNvPr id="1" name="Line 1"/>
        <xdr:cNvSpPr>
          <a:spLocks/>
        </xdr:cNvSpPr>
      </xdr:nvSpPr>
      <xdr:spPr>
        <a:xfrm>
          <a:off x="342900" y="457200"/>
          <a:ext cx="13144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1</xdr:col>
      <xdr:colOff>1295400</xdr:colOff>
      <xdr:row>2</xdr:row>
      <xdr:rowOff>0</xdr:rowOff>
    </xdr:to>
    <xdr:sp>
      <xdr:nvSpPr>
        <xdr:cNvPr id="1" name="Line 2"/>
        <xdr:cNvSpPr>
          <a:spLocks/>
        </xdr:cNvSpPr>
      </xdr:nvSpPr>
      <xdr:spPr>
        <a:xfrm>
          <a:off x="419100" y="428625"/>
          <a:ext cx="1285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xdr:row>
      <xdr:rowOff>0</xdr:rowOff>
    </xdr:from>
    <xdr:to>
      <xdr:col>1</xdr:col>
      <xdr:colOff>1295400</xdr:colOff>
      <xdr:row>2</xdr:row>
      <xdr:rowOff>0</xdr:rowOff>
    </xdr:to>
    <xdr:sp>
      <xdr:nvSpPr>
        <xdr:cNvPr id="2" name="Line 2"/>
        <xdr:cNvSpPr>
          <a:spLocks/>
        </xdr:cNvSpPr>
      </xdr:nvSpPr>
      <xdr:spPr>
        <a:xfrm>
          <a:off x="419100" y="428625"/>
          <a:ext cx="1285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xdr:row>
      <xdr:rowOff>0</xdr:rowOff>
    </xdr:from>
    <xdr:to>
      <xdr:col>1</xdr:col>
      <xdr:colOff>1295400</xdr:colOff>
      <xdr:row>2</xdr:row>
      <xdr:rowOff>0</xdr:rowOff>
    </xdr:to>
    <xdr:sp>
      <xdr:nvSpPr>
        <xdr:cNvPr id="3" name="Line 2"/>
        <xdr:cNvSpPr>
          <a:spLocks/>
        </xdr:cNvSpPr>
      </xdr:nvSpPr>
      <xdr:spPr>
        <a:xfrm>
          <a:off x="419100" y="428625"/>
          <a:ext cx="1285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xdr:row>
      <xdr:rowOff>0</xdr:rowOff>
    </xdr:from>
    <xdr:to>
      <xdr:col>1</xdr:col>
      <xdr:colOff>1295400</xdr:colOff>
      <xdr:row>2</xdr:row>
      <xdr:rowOff>0</xdr:rowOff>
    </xdr:to>
    <xdr:sp>
      <xdr:nvSpPr>
        <xdr:cNvPr id="4" name="Line 2"/>
        <xdr:cNvSpPr>
          <a:spLocks/>
        </xdr:cNvSpPr>
      </xdr:nvSpPr>
      <xdr:spPr>
        <a:xfrm>
          <a:off x="419100" y="428625"/>
          <a:ext cx="1285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19050</xdr:rowOff>
    </xdr:from>
    <xdr:to>
      <xdr:col>1</xdr:col>
      <xdr:colOff>1143000</xdr:colOff>
      <xdr:row>2</xdr:row>
      <xdr:rowOff>19050</xdr:rowOff>
    </xdr:to>
    <xdr:sp>
      <xdr:nvSpPr>
        <xdr:cNvPr id="1" name="Line 3"/>
        <xdr:cNvSpPr>
          <a:spLocks/>
        </xdr:cNvSpPr>
      </xdr:nvSpPr>
      <xdr:spPr>
        <a:xfrm>
          <a:off x="381000" y="457200"/>
          <a:ext cx="1104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 name="Line 2"/>
        <xdr:cNvSpPr>
          <a:spLocks/>
        </xdr:cNvSpPr>
      </xdr:nvSpPr>
      <xdr:spPr>
        <a:xfrm>
          <a:off x="44672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1</xdr:col>
      <xdr:colOff>1133475</xdr:colOff>
      <xdr:row>2</xdr:row>
      <xdr:rowOff>28575</xdr:rowOff>
    </xdr:to>
    <xdr:sp>
      <xdr:nvSpPr>
        <xdr:cNvPr id="1" name="Line 3"/>
        <xdr:cNvSpPr>
          <a:spLocks/>
        </xdr:cNvSpPr>
      </xdr:nvSpPr>
      <xdr:spPr>
        <a:xfrm>
          <a:off x="419100" y="428625"/>
          <a:ext cx="1104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28575</xdr:rowOff>
    </xdr:from>
    <xdr:to>
      <xdr:col>1</xdr:col>
      <xdr:colOff>1333500</xdr:colOff>
      <xdr:row>2</xdr:row>
      <xdr:rowOff>28575</xdr:rowOff>
    </xdr:to>
    <xdr:sp>
      <xdr:nvSpPr>
        <xdr:cNvPr id="1" name="Line 1"/>
        <xdr:cNvSpPr>
          <a:spLocks/>
        </xdr:cNvSpPr>
      </xdr:nvSpPr>
      <xdr:spPr>
        <a:xfrm>
          <a:off x="390525" y="44767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0</xdr:rowOff>
    </xdr:from>
    <xdr:to>
      <xdr:col>1</xdr:col>
      <xdr:colOff>1552575</xdr:colOff>
      <xdr:row>0</xdr:row>
      <xdr:rowOff>0</xdr:rowOff>
    </xdr:to>
    <xdr:sp>
      <xdr:nvSpPr>
        <xdr:cNvPr id="1" name="Line 48"/>
        <xdr:cNvSpPr>
          <a:spLocks/>
        </xdr:cNvSpPr>
      </xdr:nvSpPr>
      <xdr:spPr>
        <a:xfrm>
          <a:off x="895350" y="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xdr:row>
      <xdr:rowOff>47625</xdr:rowOff>
    </xdr:from>
    <xdr:to>
      <xdr:col>1</xdr:col>
      <xdr:colOff>1171575</xdr:colOff>
      <xdr:row>2</xdr:row>
      <xdr:rowOff>47625</xdr:rowOff>
    </xdr:to>
    <xdr:sp>
      <xdr:nvSpPr>
        <xdr:cNvPr id="2" name="Line 56"/>
        <xdr:cNvSpPr>
          <a:spLocks/>
        </xdr:cNvSpPr>
      </xdr:nvSpPr>
      <xdr:spPr>
        <a:xfrm>
          <a:off x="514350" y="5238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0</xdr:row>
      <xdr:rowOff>0</xdr:rowOff>
    </xdr:from>
    <xdr:to>
      <xdr:col>1</xdr:col>
      <xdr:colOff>1552575</xdr:colOff>
      <xdr:row>0</xdr:row>
      <xdr:rowOff>0</xdr:rowOff>
    </xdr:to>
    <xdr:sp>
      <xdr:nvSpPr>
        <xdr:cNvPr id="3" name="Line 48"/>
        <xdr:cNvSpPr>
          <a:spLocks/>
        </xdr:cNvSpPr>
      </xdr:nvSpPr>
      <xdr:spPr>
        <a:xfrm>
          <a:off x="895350" y="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219075</xdr:rowOff>
    </xdr:from>
    <xdr:to>
      <xdr:col>0</xdr:col>
      <xdr:colOff>0</xdr:colOff>
      <xdr:row>1</xdr:row>
      <xdr:rowOff>219075</xdr:rowOff>
    </xdr:to>
    <xdr:sp>
      <xdr:nvSpPr>
        <xdr:cNvPr id="1" name="Line 48"/>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xdr:row>
      <xdr:rowOff>66675</xdr:rowOff>
    </xdr:from>
    <xdr:to>
      <xdr:col>1</xdr:col>
      <xdr:colOff>1695450</xdr:colOff>
      <xdr:row>2</xdr:row>
      <xdr:rowOff>66675</xdr:rowOff>
    </xdr:to>
    <xdr:sp>
      <xdr:nvSpPr>
        <xdr:cNvPr id="2" name="Line 48"/>
        <xdr:cNvSpPr>
          <a:spLocks/>
        </xdr:cNvSpPr>
      </xdr:nvSpPr>
      <xdr:spPr>
        <a:xfrm flipH="1">
          <a:off x="685800" y="5429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0</xdr:col>
      <xdr:colOff>0</xdr:colOff>
      <xdr:row>4</xdr:row>
      <xdr:rowOff>9525</xdr:rowOff>
    </xdr:to>
    <xdr:sp>
      <xdr:nvSpPr>
        <xdr:cNvPr id="1" name="Line 1"/>
        <xdr:cNvSpPr>
          <a:spLocks/>
        </xdr:cNvSpPr>
      </xdr:nvSpPr>
      <xdr:spPr>
        <a:xfrm>
          <a:off x="0"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6"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7"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8"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9"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0"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1"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2"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3"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9525</xdr:rowOff>
    </xdr:from>
    <xdr:to>
      <xdr:col>0</xdr:col>
      <xdr:colOff>0</xdr:colOff>
      <xdr:row>4</xdr:row>
      <xdr:rowOff>9525</xdr:rowOff>
    </xdr:to>
    <xdr:sp>
      <xdr:nvSpPr>
        <xdr:cNvPr id="14" name="Line 1"/>
        <xdr:cNvSpPr>
          <a:spLocks/>
        </xdr:cNvSpPr>
      </xdr:nvSpPr>
      <xdr:spPr>
        <a:xfrm>
          <a:off x="0"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5"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7"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8"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9"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0"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2"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3"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4"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5"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9525</xdr:rowOff>
    </xdr:from>
    <xdr:to>
      <xdr:col>0</xdr:col>
      <xdr:colOff>0</xdr:colOff>
      <xdr:row>4</xdr:row>
      <xdr:rowOff>9525</xdr:rowOff>
    </xdr:to>
    <xdr:sp>
      <xdr:nvSpPr>
        <xdr:cNvPr id="27" name="Line 1"/>
        <xdr:cNvSpPr>
          <a:spLocks/>
        </xdr:cNvSpPr>
      </xdr:nvSpPr>
      <xdr:spPr>
        <a:xfrm>
          <a:off x="0"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8"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9"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0"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1"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2"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3"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4"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6"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7"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8"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9"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xdr:row>
      <xdr:rowOff>9525</xdr:rowOff>
    </xdr:from>
    <xdr:to>
      <xdr:col>1</xdr:col>
      <xdr:colOff>1314450</xdr:colOff>
      <xdr:row>4</xdr:row>
      <xdr:rowOff>9525</xdr:rowOff>
    </xdr:to>
    <xdr:sp>
      <xdr:nvSpPr>
        <xdr:cNvPr id="40" name="Line 1"/>
        <xdr:cNvSpPr>
          <a:spLocks/>
        </xdr:cNvSpPr>
      </xdr:nvSpPr>
      <xdr:spPr>
        <a:xfrm>
          <a:off x="257175" y="4857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xdr:row>
      <xdr:rowOff>219075</xdr:rowOff>
    </xdr:from>
    <xdr:to>
      <xdr:col>18</xdr:col>
      <xdr:colOff>219075</xdr:colOff>
      <xdr:row>1</xdr:row>
      <xdr:rowOff>219075</xdr:rowOff>
    </xdr:to>
    <xdr:sp>
      <xdr:nvSpPr>
        <xdr:cNvPr id="41" name="Line 1"/>
        <xdr:cNvSpPr>
          <a:spLocks/>
        </xdr:cNvSpPr>
      </xdr:nvSpPr>
      <xdr:spPr>
        <a:xfrm>
          <a:off x="8877300" y="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xdr:row>
      <xdr:rowOff>219075</xdr:rowOff>
    </xdr:from>
    <xdr:to>
      <xdr:col>9</xdr:col>
      <xdr:colOff>400050</xdr:colOff>
      <xdr:row>1</xdr:row>
      <xdr:rowOff>219075</xdr:rowOff>
    </xdr:to>
    <xdr:sp>
      <xdr:nvSpPr>
        <xdr:cNvPr id="42" name="Line 6"/>
        <xdr:cNvSpPr>
          <a:spLocks/>
        </xdr:cNvSpPr>
      </xdr:nvSpPr>
      <xdr:spPr>
        <a:xfrm>
          <a:off x="4552950"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xdr:row>
      <xdr:rowOff>219075</xdr:rowOff>
    </xdr:from>
    <xdr:to>
      <xdr:col>18</xdr:col>
      <xdr:colOff>219075</xdr:colOff>
      <xdr:row>1</xdr:row>
      <xdr:rowOff>219075</xdr:rowOff>
    </xdr:to>
    <xdr:sp>
      <xdr:nvSpPr>
        <xdr:cNvPr id="43" name="Line 1"/>
        <xdr:cNvSpPr>
          <a:spLocks/>
        </xdr:cNvSpPr>
      </xdr:nvSpPr>
      <xdr:spPr>
        <a:xfrm>
          <a:off x="8877300" y="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xdr:row>
      <xdr:rowOff>219075</xdr:rowOff>
    </xdr:from>
    <xdr:to>
      <xdr:col>9</xdr:col>
      <xdr:colOff>400050</xdr:colOff>
      <xdr:row>1</xdr:row>
      <xdr:rowOff>219075</xdr:rowOff>
    </xdr:to>
    <xdr:sp>
      <xdr:nvSpPr>
        <xdr:cNvPr id="44" name="Line 6"/>
        <xdr:cNvSpPr>
          <a:spLocks/>
        </xdr:cNvSpPr>
      </xdr:nvSpPr>
      <xdr:spPr>
        <a:xfrm>
          <a:off x="4552950"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xdr:row>
      <xdr:rowOff>219075</xdr:rowOff>
    </xdr:from>
    <xdr:to>
      <xdr:col>18</xdr:col>
      <xdr:colOff>219075</xdr:colOff>
      <xdr:row>1</xdr:row>
      <xdr:rowOff>219075</xdr:rowOff>
    </xdr:to>
    <xdr:sp>
      <xdr:nvSpPr>
        <xdr:cNvPr id="45" name="Line 1"/>
        <xdr:cNvSpPr>
          <a:spLocks/>
        </xdr:cNvSpPr>
      </xdr:nvSpPr>
      <xdr:spPr>
        <a:xfrm>
          <a:off x="8877300" y="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xdr:row>
      <xdr:rowOff>219075</xdr:rowOff>
    </xdr:from>
    <xdr:to>
      <xdr:col>9</xdr:col>
      <xdr:colOff>400050</xdr:colOff>
      <xdr:row>1</xdr:row>
      <xdr:rowOff>219075</xdr:rowOff>
    </xdr:to>
    <xdr:sp>
      <xdr:nvSpPr>
        <xdr:cNvPr id="46" name="Line 6"/>
        <xdr:cNvSpPr>
          <a:spLocks/>
        </xdr:cNvSpPr>
      </xdr:nvSpPr>
      <xdr:spPr>
        <a:xfrm>
          <a:off x="4552950"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1</xdr:row>
      <xdr:rowOff>219075</xdr:rowOff>
    </xdr:from>
    <xdr:to>
      <xdr:col>17</xdr:col>
      <xdr:colOff>219075</xdr:colOff>
      <xdr:row>1</xdr:row>
      <xdr:rowOff>219075</xdr:rowOff>
    </xdr:to>
    <xdr:sp>
      <xdr:nvSpPr>
        <xdr:cNvPr id="47" name="Line 1"/>
        <xdr:cNvSpPr>
          <a:spLocks/>
        </xdr:cNvSpPr>
      </xdr:nvSpPr>
      <xdr:spPr>
        <a:xfrm>
          <a:off x="8286750"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xdr:row>
      <xdr:rowOff>219075</xdr:rowOff>
    </xdr:from>
    <xdr:to>
      <xdr:col>8</xdr:col>
      <xdr:colOff>400050</xdr:colOff>
      <xdr:row>1</xdr:row>
      <xdr:rowOff>219075</xdr:rowOff>
    </xdr:to>
    <xdr:sp>
      <xdr:nvSpPr>
        <xdr:cNvPr id="48" name="Line 6"/>
        <xdr:cNvSpPr>
          <a:spLocks/>
        </xdr:cNvSpPr>
      </xdr:nvSpPr>
      <xdr:spPr>
        <a:xfrm>
          <a:off x="4038600" y="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1</xdr:row>
      <xdr:rowOff>219075</xdr:rowOff>
    </xdr:from>
    <xdr:to>
      <xdr:col>17</xdr:col>
      <xdr:colOff>219075</xdr:colOff>
      <xdr:row>1</xdr:row>
      <xdr:rowOff>219075</xdr:rowOff>
    </xdr:to>
    <xdr:sp>
      <xdr:nvSpPr>
        <xdr:cNvPr id="49" name="Line 1"/>
        <xdr:cNvSpPr>
          <a:spLocks/>
        </xdr:cNvSpPr>
      </xdr:nvSpPr>
      <xdr:spPr>
        <a:xfrm>
          <a:off x="8286750"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xdr:row>
      <xdr:rowOff>219075</xdr:rowOff>
    </xdr:from>
    <xdr:to>
      <xdr:col>8</xdr:col>
      <xdr:colOff>400050</xdr:colOff>
      <xdr:row>1</xdr:row>
      <xdr:rowOff>219075</xdr:rowOff>
    </xdr:to>
    <xdr:sp>
      <xdr:nvSpPr>
        <xdr:cNvPr id="50" name="Line 6"/>
        <xdr:cNvSpPr>
          <a:spLocks/>
        </xdr:cNvSpPr>
      </xdr:nvSpPr>
      <xdr:spPr>
        <a:xfrm>
          <a:off x="4038600" y="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1</xdr:row>
      <xdr:rowOff>219075</xdr:rowOff>
    </xdr:from>
    <xdr:to>
      <xdr:col>17</xdr:col>
      <xdr:colOff>219075</xdr:colOff>
      <xdr:row>1</xdr:row>
      <xdr:rowOff>219075</xdr:rowOff>
    </xdr:to>
    <xdr:sp>
      <xdr:nvSpPr>
        <xdr:cNvPr id="51" name="Line 1"/>
        <xdr:cNvSpPr>
          <a:spLocks/>
        </xdr:cNvSpPr>
      </xdr:nvSpPr>
      <xdr:spPr>
        <a:xfrm>
          <a:off x="8286750"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xdr:row>
      <xdr:rowOff>219075</xdr:rowOff>
    </xdr:from>
    <xdr:to>
      <xdr:col>8</xdr:col>
      <xdr:colOff>400050</xdr:colOff>
      <xdr:row>1</xdr:row>
      <xdr:rowOff>219075</xdr:rowOff>
    </xdr:to>
    <xdr:sp>
      <xdr:nvSpPr>
        <xdr:cNvPr id="52" name="Line 6"/>
        <xdr:cNvSpPr>
          <a:spLocks/>
        </xdr:cNvSpPr>
      </xdr:nvSpPr>
      <xdr:spPr>
        <a:xfrm>
          <a:off x="4038600" y="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xdr:row>
      <xdr:rowOff>9525</xdr:rowOff>
    </xdr:from>
    <xdr:to>
      <xdr:col>1</xdr:col>
      <xdr:colOff>1314450</xdr:colOff>
      <xdr:row>4</xdr:row>
      <xdr:rowOff>9525</xdr:rowOff>
    </xdr:to>
    <xdr:sp>
      <xdr:nvSpPr>
        <xdr:cNvPr id="53" name="Line 1"/>
        <xdr:cNvSpPr>
          <a:spLocks/>
        </xdr:cNvSpPr>
      </xdr:nvSpPr>
      <xdr:spPr>
        <a:xfrm>
          <a:off x="257175" y="4857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xdr:row>
      <xdr:rowOff>9525</xdr:rowOff>
    </xdr:from>
    <xdr:to>
      <xdr:col>1</xdr:col>
      <xdr:colOff>1314450</xdr:colOff>
      <xdr:row>4</xdr:row>
      <xdr:rowOff>9525</xdr:rowOff>
    </xdr:to>
    <xdr:sp>
      <xdr:nvSpPr>
        <xdr:cNvPr id="54" name="Line 1"/>
        <xdr:cNvSpPr>
          <a:spLocks/>
        </xdr:cNvSpPr>
      </xdr:nvSpPr>
      <xdr:spPr>
        <a:xfrm>
          <a:off x="257175" y="4857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xdr:row>
      <xdr:rowOff>9525</xdr:rowOff>
    </xdr:from>
    <xdr:to>
      <xdr:col>1</xdr:col>
      <xdr:colOff>1314450</xdr:colOff>
      <xdr:row>4</xdr:row>
      <xdr:rowOff>9525</xdr:rowOff>
    </xdr:to>
    <xdr:sp>
      <xdr:nvSpPr>
        <xdr:cNvPr id="55" name="Line 1"/>
        <xdr:cNvSpPr>
          <a:spLocks/>
        </xdr:cNvSpPr>
      </xdr:nvSpPr>
      <xdr:spPr>
        <a:xfrm>
          <a:off x="257175" y="4857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xdr:row>
      <xdr:rowOff>9525</xdr:rowOff>
    </xdr:from>
    <xdr:to>
      <xdr:col>1</xdr:col>
      <xdr:colOff>1314450</xdr:colOff>
      <xdr:row>4</xdr:row>
      <xdr:rowOff>9525</xdr:rowOff>
    </xdr:to>
    <xdr:sp>
      <xdr:nvSpPr>
        <xdr:cNvPr id="56" name="Line 1"/>
        <xdr:cNvSpPr>
          <a:spLocks/>
        </xdr:cNvSpPr>
      </xdr:nvSpPr>
      <xdr:spPr>
        <a:xfrm>
          <a:off x="257175" y="4857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xdr:row>
      <xdr:rowOff>9525</xdr:rowOff>
    </xdr:from>
    <xdr:to>
      <xdr:col>1</xdr:col>
      <xdr:colOff>1314450</xdr:colOff>
      <xdr:row>4</xdr:row>
      <xdr:rowOff>9525</xdr:rowOff>
    </xdr:to>
    <xdr:sp>
      <xdr:nvSpPr>
        <xdr:cNvPr id="57" name="Line 1"/>
        <xdr:cNvSpPr>
          <a:spLocks/>
        </xdr:cNvSpPr>
      </xdr:nvSpPr>
      <xdr:spPr>
        <a:xfrm>
          <a:off x="257175" y="4857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0XD%20(DU%20TOAN%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01 (THU)"/>
      <sheetName val="PL02"/>
      <sheetName val="PL 03"/>
      <sheetName val="QLNN"/>
      <sheetName val="DVI SN"/>
      <sheetName val="SN GIAODUC"/>
      <sheetName val="PL 05"/>
      <sheetName val="PL06"/>
      <sheetName val="PL07"/>
      <sheetName val="CD THU-CHI XA"/>
      <sheetName val="ATGT"/>
      <sheetName val="DAC THU"/>
      <sheetName val="thu HP"/>
      <sheetName val="THU DV"/>
    </sheetNames>
    <sheetDataSet>
      <sheetData sheetId="0">
        <row r="32">
          <cell r="F32">
            <v>808889</v>
          </cell>
        </row>
      </sheetData>
      <sheetData sheetId="1">
        <row r="56">
          <cell r="D56">
            <v>5645</v>
          </cell>
        </row>
      </sheetData>
      <sheetData sheetId="2">
        <row r="10">
          <cell r="F10">
            <v>12120</v>
          </cell>
        </row>
        <row r="15">
          <cell r="G15">
            <v>50238</v>
          </cell>
        </row>
        <row r="30">
          <cell r="G30">
            <v>28350</v>
          </cell>
        </row>
        <row r="34">
          <cell r="G34">
            <v>4598</v>
          </cell>
        </row>
        <row r="41">
          <cell r="G41">
            <v>923</v>
          </cell>
        </row>
        <row r="44">
          <cell r="G44">
            <v>1123</v>
          </cell>
        </row>
        <row r="48">
          <cell r="G48">
            <v>249625</v>
          </cell>
        </row>
        <row r="62">
          <cell r="G62">
            <v>5000</v>
          </cell>
        </row>
        <row r="63">
          <cell r="G63">
            <v>47658</v>
          </cell>
        </row>
        <row r="89">
          <cell r="G89">
            <v>33019</v>
          </cell>
        </row>
        <row r="93">
          <cell r="G93">
            <v>1265</v>
          </cell>
        </row>
        <row r="95">
          <cell r="G95">
            <v>8000</v>
          </cell>
        </row>
        <row r="98">
          <cell r="F98">
            <v>1989</v>
          </cell>
        </row>
        <row r="100">
          <cell r="G100">
            <v>9698</v>
          </cell>
        </row>
      </sheetData>
      <sheetData sheetId="3">
        <row r="14">
          <cell r="S14">
            <v>11061</v>
          </cell>
          <cell r="W14" t="e">
            <v>#REF!</v>
          </cell>
        </row>
      </sheetData>
      <sheetData sheetId="6">
        <row r="54">
          <cell r="T54">
            <v>19</v>
          </cell>
          <cell r="U54">
            <v>2</v>
          </cell>
        </row>
        <row r="55">
          <cell r="T55">
            <v>19</v>
          </cell>
          <cell r="U55">
            <v>2</v>
          </cell>
        </row>
      </sheetData>
      <sheetData sheetId="7">
        <row r="34">
          <cell r="K34">
            <v>0</v>
          </cell>
          <cell r="L34">
            <v>0</v>
          </cell>
          <cell r="M34">
            <v>0</v>
          </cell>
          <cell r="N34">
            <v>0</v>
          </cell>
          <cell r="O34">
            <v>0</v>
          </cell>
        </row>
      </sheetData>
      <sheetData sheetId="10">
        <row r="39">
          <cell r="F39">
            <v>40</v>
          </cell>
        </row>
        <row r="40">
          <cell r="F40">
            <v>30</v>
          </cell>
        </row>
      </sheetData>
      <sheetData sheetId="11">
        <row r="31">
          <cell r="D31">
            <v>2000</v>
          </cell>
        </row>
        <row r="32">
          <cell r="D32">
            <v>1500</v>
          </cell>
        </row>
        <row r="36">
          <cell r="D36">
            <v>60</v>
          </cell>
        </row>
        <row r="37">
          <cell r="D37">
            <v>2000</v>
          </cell>
        </row>
        <row r="39">
          <cell r="D39">
            <v>200</v>
          </cell>
        </row>
        <row r="41">
          <cell r="D41">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V75"/>
  <sheetViews>
    <sheetView tabSelected="1" zoomScalePageLayoutView="0" workbookViewId="0" topLeftCell="A1">
      <selection activeCell="Q6" sqref="Q6"/>
    </sheetView>
  </sheetViews>
  <sheetFormatPr defaultColWidth="9.140625" defaultRowHeight="12.75"/>
  <cols>
    <col min="1" max="1" width="6.140625" style="682" customWidth="1"/>
    <col min="2" max="2" width="56.8515625" style="54" customWidth="1"/>
    <col min="3" max="3" width="10.7109375" style="54" customWidth="1"/>
    <col min="4" max="4" width="12.00390625" style="54" customWidth="1"/>
    <col min="5" max="5" width="12.00390625" style="17" customWidth="1"/>
    <col min="6" max="6" width="11.8515625" style="17" hidden="1" customWidth="1"/>
    <col min="7" max="7" width="11.28125" style="17" hidden="1" customWidth="1"/>
    <col min="8" max="8" width="14.57421875" style="748" hidden="1" customWidth="1"/>
    <col min="9" max="9" width="11.421875" style="748" hidden="1" customWidth="1"/>
    <col min="10" max="10" width="14.421875" style="748" hidden="1" customWidth="1"/>
    <col min="11" max="11" width="9.140625" style="748" hidden="1" customWidth="1"/>
    <col min="12" max="12" width="16.8515625" style="748" hidden="1" customWidth="1"/>
    <col min="13" max="14" width="17.57421875" style="748" hidden="1" customWidth="1"/>
    <col min="15" max="15" width="9.140625" style="748" hidden="1" customWidth="1"/>
    <col min="16" max="16" width="9.140625" style="54" customWidth="1"/>
    <col min="17" max="17" width="19.421875" style="54" customWidth="1"/>
    <col min="18" max="16384" width="9.140625" style="54" customWidth="1"/>
  </cols>
  <sheetData>
    <row r="1" ht="16.5">
      <c r="A1" s="45" t="s">
        <v>643</v>
      </c>
    </row>
    <row r="2" ht="16.5">
      <c r="A2" s="45" t="s">
        <v>64</v>
      </c>
    </row>
    <row r="3" spans="2:5" ht="6.75" customHeight="1">
      <c r="B3" s="261"/>
      <c r="C3" s="261"/>
      <c r="D3" s="261"/>
      <c r="E3" s="25"/>
    </row>
    <row r="4" spans="1:5" ht="18.75" customHeight="1">
      <c r="A4" s="897" t="s">
        <v>300</v>
      </c>
      <c r="B4" s="897"/>
      <c r="C4" s="897"/>
      <c r="D4" s="897"/>
      <c r="E4" s="897"/>
    </row>
    <row r="5" spans="1:5" ht="20.25" customHeight="1">
      <c r="A5" s="903" t="s">
        <v>874</v>
      </c>
      <c r="B5" s="903"/>
      <c r="C5" s="903"/>
      <c r="D5" s="903"/>
      <c r="E5" s="903"/>
    </row>
    <row r="6" spans="1:21" ht="18" customHeight="1">
      <c r="A6" s="896" t="s">
        <v>888</v>
      </c>
      <c r="B6" s="896"/>
      <c r="C6" s="896"/>
      <c r="D6" s="896"/>
      <c r="E6" s="896"/>
      <c r="Q6" s="759"/>
      <c r="R6" s="759"/>
      <c r="S6" s="759"/>
      <c r="T6" s="759"/>
      <c r="U6" s="759"/>
    </row>
    <row r="7" spans="2:5" ht="21" customHeight="1">
      <c r="B7" s="749"/>
      <c r="C7" s="749"/>
      <c r="E7" s="750" t="s">
        <v>292</v>
      </c>
    </row>
    <row r="8" spans="1:15" s="682" customFormat="1" ht="21.75" customHeight="1">
      <c r="A8" s="898" t="s">
        <v>293</v>
      </c>
      <c r="B8" s="900" t="s">
        <v>301</v>
      </c>
      <c r="C8" s="900" t="s">
        <v>302</v>
      </c>
      <c r="D8" s="902" t="s">
        <v>761</v>
      </c>
      <c r="E8" s="902"/>
      <c r="F8" s="895" t="s">
        <v>324</v>
      </c>
      <c r="G8" s="895"/>
      <c r="H8" s="78"/>
      <c r="I8" s="78"/>
      <c r="J8" s="78"/>
      <c r="K8" s="78"/>
      <c r="L8" s="78"/>
      <c r="M8" s="78"/>
      <c r="N8" s="78"/>
      <c r="O8" s="78"/>
    </row>
    <row r="9" spans="1:15" s="682" customFormat="1" ht="56.25" customHeight="1">
      <c r="A9" s="899"/>
      <c r="B9" s="901"/>
      <c r="C9" s="901"/>
      <c r="D9" s="453" t="s">
        <v>316</v>
      </c>
      <c r="E9" s="453" t="s">
        <v>724</v>
      </c>
      <c r="F9" s="751" t="s">
        <v>519</v>
      </c>
      <c r="G9" s="751" t="s">
        <v>520</v>
      </c>
      <c r="H9" s="78"/>
      <c r="I9" s="78"/>
      <c r="J9" s="78"/>
      <c r="K9" s="78"/>
      <c r="L9" s="78"/>
      <c r="M9" s="78"/>
      <c r="N9" s="78"/>
      <c r="O9" s="78"/>
    </row>
    <row r="10" spans="1:22" s="758" customFormat="1" ht="37.5" customHeight="1">
      <c r="A10" s="130" t="s">
        <v>294</v>
      </c>
      <c r="B10" s="752" t="s">
        <v>722</v>
      </c>
      <c r="C10" s="753"/>
      <c r="D10" s="754">
        <f>D11+D30+D33</f>
        <v>403683</v>
      </c>
      <c r="E10" s="754">
        <f>E11+E30+E33</f>
        <v>434412</v>
      </c>
      <c r="F10" s="755" t="e">
        <f>F11+#REF!+#REF!</f>
        <v>#REF!</v>
      </c>
      <c r="G10" s="755" t="e">
        <f>G11+#REF!+#REF!</f>
        <v>#REF!</v>
      </c>
      <c r="H10" s="756">
        <v>0</v>
      </c>
      <c r="I10" s="756">
        <f>E10-D10</f>
        <v>30729</v>
      </c>
      <c r="J10" s="757"/>
      <c r="K10" s="757"/>
      <c r="L10" s="757"/>
      <c r="M10" s="757"/>
      <c r="N10" s="757"/>
      <c r="O10" s="757"/>
      <c r="Q10" s="759"/>
      <c r="R10" s="759"/>
      <c r="S10" s="759"/>
      <c r="T10" s="759"/>
      <c r="U10" s="759"/>
      <c r="V10" s="759"/>
    </row>
    <row r="11" spans="1:15" s="758" customFormat="1" ht="29.25" customHeight="1">
      <c r="A11" s="130" t="s">
        <v>295</v>
      </c>
      <c r="B11" s="752" t="s">
        <v>660</v>
      </c>
      <c r="C11" s="753"/>
      <c r="D11" s="754">
        <f>D12+D29</f>
        <v>393500</v>
      </c>
      <c r="E11" s="754">
        <f>E12+E29</f>
        <v>413500</v>
      </c>
      <c r="F11" s="755">
        <f>F12+F29</f>
        <v>331840</v>
      </c>
      <c r="G11" s="755">
        <f>G12+G29</f>
        <v>53660</v>
      </c>
      <c r="H11" s="756">
        <f aca="true" t="shared" si="0" ref="H11:H45">G11+F11</f>
        <v>385500</v>
      </c>
      <c r="I11" s="756">
        <f>E11-D11</f>
        <v>20000</v>
      </c>
      <c r="J11" s="760">
        <f>E12-D12</f>
        <v>7000</v>
      </c>
      <c r="K11" s="757"/>
      <c r="L11" s="757"/>
      <c r="M11" s="757"/>
      <c r="N11" s="757"/>
      <c r="O11" s="757"/>
    </row>
    <row r="12" spans="1:15" s="758" customFormat="1" ht="21.75" customHeight="1">
      <c r="A12" s="130" t="s">
        <v>261</v>
      </c>
      <c r="B12" s="752" t="s">
        <v>661</v>
      </c>
      <c r="C12" s="753"/>
      <c r="D12" s="754">
        <f aca="true" t="shared" si="1" ref="D12:M12">D13+D18+D19+D20+D21+D22+D25+D26+D28</f>
        <v>273500</v>
      </c>
      <c r="E12" s="754">
        <f t="shared" si="1"/>
        <v>280500</v>
      </c>
      <c r="F12" s="754">
        <f t="shared" si="1"/>
        <v>226840</v>
      </c>
      <c r="G12" s="754">
        <f t="shared" si="1"/>
        <v>53660</v>
      </c>
      <c r="H12" s="761">
        <f t="shared" si="1"/>
        <v>280500</v>
      </c>
      <c r="I12" s="761">
        <f t="shared" si="1"/>
        <v>7000</v>
      </c>
      <c r="J12" s="761">
        <f t="shared" si="1"/>
        <v>7000</v>
      </c>
      <c r="K12" s="762">
        <f t="shared" si="1"/>
        <v>0</v>
      </c>
      <c r="L12" s="761">
        <f t="shared" si="1"/>
        <v>255180</v>
      </c>
      <c r="M12" s="761">
        <f t="shared" si="1"/>
        <v>-18320</v>
      </c>
      <c r="N12" s="757"/>
      <c r="O12" s="757"/>
    </row>
    <row r="13" spans="1:15" s="758" customFormat="1" ht="18" customHeight="1">
      <c r="A13" s="64">
        <v>1</v>
      </c>
      <c r="B13" s="471" t="s">
        <v>303</v>
      </c>
      <c r="C13" s="763"/>
      <c r="D13" s="764">
        <f>SUM(D14:D17)</f>
        <v>110000</v>
      </c>
      <c r="E13" s="764">
        <f>SUM(E14:E17)</f>
        <v>110000</v>
      </c>
      <c r="F13" s="765">
        <f aca="true" t="shared" si="2" ref="F13:F28">E13-G13</f>
        <v>83000</v>
      </c>
      <c r="G13" s="765">
        <f>SUM(G14:G17)</f>
        <v>27000</v>
      </c>
      <c r="H13" s="760">
        <f t="shared" si="0"/>
        <v>110000</v>
      </c>
      <c r="I13" s="760">
        <f aca="true" t="shared" si="3" ref="I13:I29">E13-D13</f>
        <v>0</v>
      </c>
      <c r="J13" s="760">
        <f aca="true" t="shared" si="4" ref="J13:J29">E13-D13</f>
        <v>0</v>
      </c>
      <c r="K13" s="757"/>
      <c r="L13" s="766">
        <v>109000</v>
      </c>
      <c r="M13" s="766">
        <f aca="true" t="shared" si="5" ref="M13:M29">L13-D13</f>
        <v>-1000</v>
      </c>
      <c r="N13" s="757"/>
      <c r="O13" s="757"/>
    </row>
    <row r="14" spans="1:17" s="773" customFormat="1" ht="18" customHeight="1">
      <c r="A14" s="477"/>
      <c r="B14" s="767" t="s">
        <v>620</v>
      </c>
      <c r="C14" s="768">
        <v>0.45</v>
      </c>
      <c r="D14" s="769">
        <v>19000</v>
      </c>
      <c r="E14" s="769">
        <v>19000</v>
      </c>
      <c r="F14" s="765">
        <f t="shared" si="2"/>
        <v>19000</v>
      </c>
      <c r="G14" s="770"/>
      <c r="H14" s="760">
        <f t="shared" si="0"/>
        <v>19000</v>
      </c>
      <c r="I14" s="760">
        <f t="shared" si="3"/>
        <v>0</v>
      </c>
      <c r="J14" s="760">
        <f t="shared" si="4"/>
        <v>0</v>
      </c>
      <c r="K14" s="771"/>
      <c r="L14" s="766">
        <v>20000</v>
      </c>
      <c r="M14" s="766">
        <f t="shared" si="5"/>
        <v>1000</v>
      </c>
      <c r="N14" s="771"/>
      <c r="O14" s="771"/>
      <c r="P14" s="772"/>
      <c r="Q14" s="772"/>
    </row>
    <row r="15" spans="1:17" s="773" customFormat="1" ht="18" customHeight="1">
      <c r="A15" s="477"/>
      <c r="B15" s="767" t="s">
        <v>621</v>
      </c>
      <c r="C15" s="768">
        <v>0.45</v>
      </c>
      <c r="D15" s="769">
        <v>84300</v>
      </c>
      <c r="E15" s="769">
        <v>84300</v>
      </c>
      <c r="F15" s="765">
        <f t="shared" si="2"/>
        <v>58370</v>
      </c>
      <c r="G15" s="774">
        <v>25930</v>
      </c>
      <c r="H15" s="760">
        <f t="shared" si="0"/>
        <v>84300</v>
      </c>
      <c r="I15" s="760">
        <f t="shared" si="3"/>
        <v>0</v>
      </c>
      <c r="J15" s="760">
        <f t="shared" si="4"/>
        <v>0</v>
      </c>
      <c r="K15" s="775">
        <f>J12*47%</f>
        <v>3290</v>
      </c>
      <c r="L15" s="766">
        <v>83000</v>
      </c>
      <c r="M15" s="766">
        <f t="shared" si="5"/>
        <v>-1300</v>
      </c>
      <c r="N15" s="771"/>
      <c r="O15" s="771"/>
      <c r="P15" s="772"/>
      <c r="Q15" s="772"/>
    </row>
    <row r="16" spans="1:16" s="773" customFormat="1" ht="18" customHeight="1">
      <c r="A16" s="477"/>
      <c r="B16" s="767" t="s">
        <v>622</v>
      </c>
      <c r="C16" s="768">
        <v>1</v>
      </c>
      <c r="D16" s="769">
        <v>6500</v>
      </c>
      <c r="E16" s="769">
        <v>6500</v>
      </c>
      <c r="F16" s="765">
        <f t="shared" si="2"/>
        <v>6360</v>
      </c>
      <c r="G16" s="774">
        <v>140</v>
      </c>
      <c r="H16" s="760">
        <f t="shared" si="0"/>
        <v>6500</v>
      </c>
      <c r="I16" s="760">
        <f t="shared" si="3"/>
        <v>0</v>
      </c>
      <c r="J16" s="760">
        <f t="shared" si="4"/>
        <v>0</v>
      </c>
      <c r="K16" s="771"/>
      <c r="L16" s="766">
        <v>4800</v>
      </c>
      <c r="M16" s="766">
        <f t="shared" si="5"/>
        <v>-1700</v>
      </c>
      <c r="N16" s="771" t="s">
        <v>699</v>
      </c>
      <c r="O16" s="771"/>
      <c r="P16" s="772"/>
    </row>
    <row r="17" spans="1:16" s="773" customFormat="1" ht="18" customHeight="1">
      <c r="A17" s="477"/>
      <c r="B17" s="767" t="s">
        <v>623</v>
      </c>
      <c r="C17" s="768">
        <v>0.45</v>
      </c>
      <c r="D17" s="769">
        <v>200</v>
      </c>
      <c r="E17" s="769">
        <v>200</v>
      </c>
      <c r="F17" s="765">
        <f t="shared" si="2"/>
        <v>-730</v>
      </c>
      <c r="G17" s="774">
        <v>930</v>
      </c>
      <c r="H17" s="760">
        <f t="shared" si="0"/>
        <v>200</v>
      </c>
      <c r="I17" s="760">
        <f t="shared" si="3"/>
        <v>0</v>
      </c>
      <c r="J17" s="760">
        <f t="shared" si="4"/>
        <v>0</v>
      </c>
      <c r="K17" s="771"/>
      <c r="L17" s="766">
        <v>1200</v>
      </c>
      <c r="M17" s="766">
        <f t="shared" si="5"/>
        <v>1000</v>
      </c>
      <c r="N17" s="771"/>
      <c r="O17" s="771"/>
      <c r="P17" s="772"/>
    </row>
    <row r="18" spans="1:16" s="758" customFormat="1" ht="18" customHeight="1">
      <c r="A18" s="64">
        <v>2</v>
      </c>
      <c r="B18" s="471" t="s">
        <v>123</v>
      </c>
      <c r="C18" s="776">
        <v>1</v>
      </c>
      <c r="D18" s="764">
        <v>57000</v>
      </c>
      <c r="E18" s="764">
        <v>60000</v>
      </c>
      <c r="F18" s="765">
        <f t="shared" si="2"/>
        <v>53000</v>
      </c>
      <c r="G18" s="765">
        <v>7000</v>
      </c>
      <c r="H18" s="760">
        <f t="shared" si="0"/>
        <v>60000</v>
      </c>
      <c r="I18" s="760">
        <f t="shared" si="3"/>
        <v>3000</v>
      </c>
      <c r="J18" s="760">
        <f t="shared" si="4"/>
        <v>3000</v>
      </c>
      <c r="K18" s="757"/>
      <c r="L18" s="766">
        <v>39000</v>
      </c>
      <c r="M18" s="766">
        <f t="shared" si="5"/>
        <v>-18000</v>
      </c>
      <c r="N18" s="766">
        <f>J18</f>
        <v>3000</v>
      </c>
      <c r="O18" s="757"/>
      <c r="P18" s="772"/>
    </row>
    <row r="19" spans="1:16" s="758" customFormat="1" ht="18" customHeight="1">
      <c r="A19" s="64">
        <v>3</v>
      </c>
      <c r="B19" s="471" t="s">
        <v>304</v>
      </c>
      <c r="C19" s="776">
        <v>0.45</v>
      </c>
      <c r="D19" s="764">
        <v>63000</v>
      </c>
      <c r="E19" s="764">
        <v>66000</v>
      </c>
      <c r="F19" s="765">
        <f t="shared" si="2"/>
        <v>52520</v>
      </c>
      <c r="G19" s="765">
        <v>13480</v>
      </c>
      <c r="H19" s="760">
        <f t="shared" si="0"/>
        <v>66000</v>
      </c>
      <c r="I19" s="760">
        <f t="shared" si="3"/>
        <v>3000</v>
      </c>
      <c r="J19" s="760">
        <f t="shared" si="4"/>
        <v>3000</v>
      </c>
      <c r="K19" s="757"/>
      <c r="L19" s="766">
        <v>55500</v>
      </c>
      <c r="M19" s="766">
        <f t="shared" si="5"/>
        <v>-7500</v>
      </c>
      <c r="N19" s="766">
        <f>J19*C19</f>
        <v>1350</v>
      </c>
      <c r="O19" s="757"/>
      <c r="P19" s="772"/>
    </row>
    <row r="20" spans="1:16" s="758" customFormat="1" ht="18" customHeight="1">
      <c r="A20" s="64">
        <v>4</v>
      </c>
      <c r="B20" s="471" t="s">
        <v>504</v>
      </c>
      <c r="C20" s="776">
        <v>1</v>
      </c>
      <c r="D20" s="764">
        <v>2500</v>
      </c>
      <c r="E20" s="764">
        <v>2500</v>
      </c>
      <c r="F20" s="765">
        <f t="shared" si="2"/>
        <v>0</v>
      </c>
      <c r="G20" s="765">
        <v>2500</v>
      </c>
      <c r="H20" s="760">
        <f t="shared" si="0"/>
        <v>2500</v>
      </c>
      <c r="I20" s="760">
        <f t="shared" si="3"/>
        <v>0</v>
      </c>
      <c r="J20" s="760">
        <f t="shared" si="4"/>
        <v>0</v>
      </c>
      <c r="K20" s="757"/>
      <c r="L20" s="766">
        <v>2500</v>
      </c>
      <c r="M20" s="766">
        <f t="shared" si="5"/>
        <v>0</v>
      </c>
      <c r="N20" s="777"/>
      <c r="O20" s="757"/>
      <c r="P20" s="772"/>
    </row>
    <row r="21" spans="1:16" s="758" customFormat="1" ht="18" customHeight="1">
      <c r="A21" s="64">
        <v>5</v>
      </c>
      <c r="B21" s="471" t="s">
        <v>305</v>
      </c>
      <c r="C21" s="776">
        <v>0.45</v>
      </c>
      <c r="D21" s="764">
        <v>2000</v>
      </c>
      <c r="E21" s="764">
        <v>2000</v>
      </c>
      <c r="F21" s="765">
        <f t="shared" si="2"/>
        <v>2000</v>
      </c>
      <c r="G21" s="765"/>
      <c r="H21" s="760">
        <f t="shared" si="0"/>
        <v>2000</v>
      </c>
      <c r="I21" s="760">
        <f t="shared" si="3"/>
        <v>0</v>
      </c>
      <c r="J21" s="760">
        <f t="shared" si="4"/>
        <v>0</v>
      </c>
      <c r="K21" s="757"/>
      <c r="L21" s="766">
        <v>2000</v>
      </c>
      <c r="M21" s="766">
        <f t="shared" si="5"/>
        <v>0</v>
      </c>
      <c r="N21" s="757"/>
      <c r="O21" s="757"/>
      <c r="P21" s="772"/>
    </row>
    <row r="22" spans="1:16" s="758" customFormat="1" ht="18" customHeight="1">
      <c r="A22" s="64">
        <v>6</v>
      </c>
      <c r="B22" s="471" t="s">
        <v>306</v>
      </c>
      <c r="C22" s="776">
        <v>0</v>
      </c>
      <c r="D22" s="764">
        <v>15000</v>
      </c>
      <c r="E22" s="764">
        <v>16000</v>
      </c>
      <c r="F22" s="765">
        <f t="shared" si="2"/>
        <v>13160</v>
      </c>
      <c r="G22" s="765">
        <v>2840</v>
      </c>
      <c r="H22" s="760">
        <f t="shared" si="0"/>
        <v>16000</v>
      </c>
      <c r="I22" s="760">
        <f t="shared" si="3"/>
        <v>1000</v>
      </c>
      <c r="J22" s="760">
        <f t="shared" si="4"/>
        <v>1000</v>
      </c>
      <c r="K22" s="757"/>
      <c r="L22" s="766">
        <v>16000</v>
      </c>
      <c r="M22" s="766">
        <f t="shared" si="5"/>
        <v>1000</v>
      </c>
      <c r="N22" s="757"/>
      <c r="O22" s="757"/>
      <c r="P22" s="772"/>
    </row>
    <row r="23" spans="1:16" s="758" customFormat="1" ht="18" customHeight="1" hidden="1">
      <c r="A23" s="64"/>
      <c r="B23" s="466" t="s">
        <v>317</v>
      </c>
      <c r="C23" s="768"/>
      <c r="D23" s="769"/>
      <c r="E23" s="769"/>
      <c r="F23" s="765">
        <f t="shared" si="2"/>
        <v>0</v>
      </c>
      <c r="G23" s="765"/>
      <c r="H23" s="760">
        <f t="shared" si="0"/>
        <v>0</v>
      </c>
      <c r="I23" s="760">
        <f t="shared" si="3"/>
        <v>0</v>
      </c>
      <c r="J23" s="760">
        <f t="shared" si="4"/>
        <v>0</v>
      </c>
      <c r="K23" s="757"/>
      <c r="L23" s="766"/>
      <c r="M23" s="766">
        <f t="shared" si="5"/>
        <v>0</v>
      </c>
      <c r="N23" s="757"/>
      <c r="O23" s="757"/>
      <c r="P23" s="772"/>
    </row>
    <row r="24" spans="1:16" s="773" customFormat="1" ht="19.5" customHeight="1">
      <c r="A24" s="477"/>
      <c r="B24" s="466" t="s">
        <v>249</v>
      </c>
      <c r="C24" s="768">
        <v>1</v>
      </c>
      <c r="D24" s="769">
        <v>8500</v>
      </c>
      <c r="E24" s="769">
        <v>8500</v>
      </c>
      <c r="F24" s="778">
        <f t="shared" si="2"/>
        <v>8500</v>
      </c>
      <c r="G24" s="765"/>
      <c r="H24" s="760">
        <f t="shared" si="0"/>
        <v>8500</v>
      </c>
      <c r="I24" s="760">
        <f t="shared" si="3"/>
        <v>0</v>
      </c>
      <c r="J24" s="760">
        <f t="shared" si="4"/>
        <v>0</v>
      </c>
      <c r="K24" s="771"/>
      <c r="L24" s="766">
        <v>8500</v>
      </c>
      <c r="M24" s="766">
        <f t="shared" si="5"/>
        <v>0</v>
      </c>
      <c r="N24" s="771"/>
      <c r="O24" s="771"/>
      <c r="P24" s="772"/>
    </row>
    <row r="25" spans="1:16" s="758" customFormat="1" ht="21" customHeight="1" hidden="1">
      <c r="A25" s="64"/>
      <c r="B25" s="471" t="s">
        <v>308</v>
      </c>
      <c r="C25" s="776">
        <v>1</v>
      </c>
      <c r="D25" s="764">
        <v>0</v>
      </c>
      <c r="E25" s="764"/>
      <c r="F25" s="765">
        <f t="shared" si="2"/>
        <v>0</v>
      </c>
      <c r="G25" s="765"/>
      <c r="H25" s="760">
        <f t="shared" si="0"/>
        <v>0</v>
      </c>
      <c r="I25" s="760">
        <f t="shared" si="3"/>
        <v>0</v>
      </c>
      <c r="J25" s="760">
        <f t="shared" si="4"/>
        <v>0</v>
      </c>
      <c r="K25" s="757"/>
      <c r="L25" s="766">
        <v>150</v>
      </c>
      <c r="M25" s="766">
        <f t="shared" si="5"/>
        <v>150</v>
      </c>
      <c r="N25" s="757"/>
      <c r="O25" s="757"/>
      <c r="P25" s="772"/>
    </row>
    <row r="26" spans="1:16" s="758" customFormat="1" ht="21" customHeight="1">
      <c r="A26" s="779">
        <v>7</v>
      </c>
      <c r="B26" s="780" t="s">
        <v>610</v>
      </c>
      <c r="C26" s="781"/>
      <c r="D26" s="782">
        <v>24000</v>
      </c>
      <c r="E26" s="782">
        <v>24000</v>
      </c>
      <c r="F26" s="765">
        <f t="shared" si="2"/>
        <v>23175</v>
      </c>
      <c r="G26" s="765">
        <v>825</v>
      </c>
      <c r="H26" s="760">
        <f t="shared" si="0"/>
        <v>24000</v>
      </c>
      <c r="I26" s="760">
        <f t="shared" si="3"/>
        <v>0</v>
      </c>
      <c r="J26" s="760">
        <f t="shared" si="4"/>
        <v>0</v>
      </c>
      <c r="K26" s="757"/>
      <c r="L26" s="766">
        <v>31000</v>
      </c>
      <c r="M26" s="766">
        <f t="shared" si="5"/>
        <v>7000</v>
      </c>
      <c r="N26" s="757"/>
      <c r="O26" s="757"/>
      <c r="P26" s="772"/>
    </row>
    <row r="27" spans="1:16" s="773" customFormat="1" ht="20.25" customHeight="1">
      <c r="A27" s="783"/>
      <c r="B27" s="784" t="s">
        <v>624</v>
      </c>
      <c r="C27" s="785">
        <v>1</v>
      </c>
      <c r="D27" s="786">
        <v>4000</v>
      </c>
      <c r="E27" s="786">
        <v>4000</v>
      </c>
      <c r="F27" s="778">
        <f t="shared" si="2"/>
        <v>4000</v>
      </c>
      <c r="G27" s="770"/>
      <c r="H27" s="760">
        <f t="shared" si="0"/>
        <v>4000</v>
      </c>
      <c r="I27" s="760">
        <f t="shared" si="3"/>
        <v>0</v>
      </c>
      <c r="J27" s="760">
        <f t="shared" si="4"/>
        <v>0</v>
      </c>
      <c r="K27" s="771"/>
      <c r="L27" s="766">
        <v>4000</v>
      </c>
      <c r="M27" s="766">
        <f t="shared" si="5"/>
        <v>0</v>
      </c>
      <c r="N27" s="775">
        <v>500</v>
      </c>
      <c r="O27" s="771"/>
      <c r="P27" s="772"/>
    </row>
    <row r="28" spans="1:16" s="758" customFormat="1" ht="24.75" customHeight="1" hidden="1">
      <c r="A28" s="779"/>
      <c r="B28" s="787" t="s">
        <v>309</v>
      </c>
      <c r="C28" s="781">
        <v>1</v>
      </c>
      <c r="D28" s="782">
        <v>0</v>
      </c>
      <c r="E28" s="782"/>
      <c r="F28" s="765">
        <f t="shared" si="2"/>
        <v>-15</v>
      </c>
      <c r="G28" s="765">
        <v>15</v>
      </c>
      <c r="H28" s="760">
        <f t="shared" si="0"/>
        <v>0</v>
      </c>
      <c r="I28" s="760">
        <f t="shared" si="3"/>
        <v>0</v>
      </c>
      <c r="J28" s="760">
        <f t="shared" si="4"/>
        <v>0</v>
      </c>
      <c r="K28" s="757"/>
      <c r="L28" s="766">
        <v>30</v>
      </c>
      <c r="M28" s="766">
        <f t="shared" si="5"/>
        <v>30</v>
      </c>
      <c r="N28" s="777">
        <f>N27+N19+N18</f>
        <v>4850</v>
      </c>
      <c r="O28" s="757"/>
      <c r="P28" s="772"/>
    </row>
    <row r="29" spans="1:16" s="758" customFormat="1" ht="24.75" customHeight="1">
      <c r="A29" s="130" t="s">
        <v>262</v>
      </c>
      <c r="B29" s="752" t="s">
        <v>307</v>
      </c>
      <c r="C29" s="788">
        <v>0.6</v>
      </c>
      <c r="D29" s="789">
        <v>120000</v>
      </c>
      <c r="E29" s="789">
        <v>133000</v>
      </c>
      <c r="F29" s="790">
        <v>105000</v>
      </c>
      <c r="G29" s="791"/>
      <c r="H29" s="756">
        <f t="shared" si="0"/>
        <v>105000</v>
      </c>
      <c r="I29" s="756">
        <f t="shared" si="3"/>
        <v>13000</v>
      </c>
      <c r="J29" s="757">
        <f t="shared" si="4"/>
        <v>13000</v>
      </c>
      <c r="K29" s="757"/>
      <c r="L29" s="792">
        <v>110000</v>
      </c>
      <c r="M29" s="777">
        <f t="shared" si="5"/>
        <v>-10000</v>
      </c>
      <c r="N29" s="777">
        <f>I29*C29</f>
        <v>7800</v>
      </c>
      <c r="O29" s="757"/>
      <c r="P29" s="772"/>
    </row>
    <row r="30" spans="1:15" s="758" customFormat="1" ht="27" customHeight="1">
      <c r="A30" s="130" t="s">
        <v>296</v>
      </c>
      <c r="B30" s="793" t="s">
        <v>603</v>
      </c>
      <c r="C30" s="776"/>
      <c r="D30" s="794">
        <f>D31+D32</f>
        <v>10183</v>
      </c>
      <c r="E30" s="795">
        <f>E31+E32</f>
        <v>12593</v>
      </c>
      <c r="F30" s="796"/>
      <c r="G30" s="791"/>
      <c r="H30" s="760"/>
      <c r="I30" s="757"/>
      <c r="J30" s="757"/>
      <c r="K30" s="757"/>
      <c r="L30" s="797"/>
      <c r="M30" s="797"/>
      <c r="N30" s="757"/>
      <c r="O30" s="757"/>
    </row>
    <row r="31" spans="1:15" s="758" customFormat="1" ht="27" customHeight="1" hidden="1">
      <c r="A31" s="130"/>
      <c r="B31" s="798" t="s">
        <v>628</v>
      </c>
      <c r="C31" s="776"/>
      <c r="D31" s="799"/>
      <c r="E31" s="799"/>
      <c r="F31" s="796"/>
      <c r="G31" s="791"/>
      <c r="H31" s="760"/>
      <c r="I31" s="757"/>
      <c r="J31" s="757"/>
      <c r="K31" s="757"/>
      <c r="L31" s="797"/>
      <c r="M31" s="797"/>
      <c r="N31" s="757"/>
      <c r="O31" s="757"/>
    </row>
    <row r="32" spans="1:15" s="758" customFormat="1" ht="42.75" customHeight="1">
      <c r="A32" s="130"/>
      <c r="B32" s="798" t="s">
        <v>863</v>
      </c>
      <c r="C32" s="776"/>
      <c r="D32" s="800">
        <v>10183</v>
      </c>
      <c r="E32" s="800">
        <f>'thu HP'!G10+'THU DV'!C10</f>
        <v>12593</v>
      </c>
      <c r="F32" s="796"/>
      <c r="G32" s="791"/>
      <c r="H32" s="760"/>
      <c r="I32" s="757"/>
      <c r="J32" s="757"/>
      <c r="K32" s="757"/>
      <c r="L32" s="797"/>
      <c r="M32" s="797"/>
      <c r="N32" s="757"/>
      <c r="O32" s="757"/>
    </row>
    <row r="33" spans="1:15" s="758" customFormat="1" ht="39.75" customHeight="1">
      <c r="A33" s="130" t="s">
        <v>297</v>
      </c>
      <c r="B33" s="63" t="s">
        <v>723</v>
      </c>
      <c r="C33" s="776"/>
      <c r="D33" s="794">
        <f>D34</f>
        <v>0</v>
      </c>
      <c r="E33" s="801">
        <f>E34</f>
        <v>8319</v>
      </c>
      <c r="F33" s="796"/>
      <c r="G33" s="791"/>
      <c r="H33" s="760"/>
      <c r="I33" s="757"/>
      <c r="J33" s="757"/>
      <c r="K33" s="757"/>
      <c r="L33" s="797"/>
      <c r="M33" s="797"/>
      <c r="N33" s="757"/>
      <c r="O33" s="757"/>
    </row>
    <row r="34" spans="1:15" s="758" customFormat="1" ht="27.75" customHeight="1">
      <c r="A34" s="130"/>
      <c r="B34" s="802" t="s">
        <v>731</v>
      </c>
      <c r="C34" s="776"/>
      <c r="D34" s="799"/>
      <c r="E34" s="803">
        <v>8319</v>
      </c>
      <c r="F34" s="796"/>
      <c r="G34" s="791"/>
      <c r="H34" s="760"/>
      <c r="I34" s="757"/>
      <c r="J34" s="757"/>
      <c r="K34" s="757"/>
      <c r="L34" s="797"/>
      <c r="M34" s="797"/>
      <c r="N34" s="757"/>
      <c r="O34" s="757"/>
    </row>
    <row r="35" spans="1:15" s="758" customFormat="1" ht="48" customHeight="1">
      <c r="A35" s="130" t="s">
        <v>299</v>
      </c>
      <c r="B35" s="752" t="s">
        <v>609</v>
      </c>
      <c r="C35" s="788"/>
      <c r="D35" s="801">
        <f>D36+D49+D51</f>
        <v>822728</v>
      </c>
      <c r="E35" s="801">
        <f>E36+E51+E49</f>
        <v>844353.28</v>
      </c>
      <c r="F35" s="804" t="e">
        <f>F36+F51+F49</f>
        <v>#REF!</v>
      </c>
      <c r="G35" s="804" t="e">
        <f>G36+G51+G49</f>
        <v>#REF!</v>
      </c>
      <c r="H35" s="756">
        <v>0</v>
      </c>
      <c r="I35" s="805">
        <f aca="true" t="shared" si="6" ref="I35:I45">E35-D35</f>
        <v>21625.280000000028</v>
      </c>
      <c r="J35" s="805"/>
      <c r="K35" s="806"/>
      <c r="L35" s="807">
        <v>794213</v>
      </c>
      <c r="M35" s="797"/>
      <c r="N35" s="806"/>
      <c r="O35" s="757"/>
    </row>
    <row r="36" spans="1:15" s="811" customFormat="1" ht="42" customHeight="1">
      <c r="A36" s="130" t="s">
        <v>295</v>
      </c>
      <c r="B36" s="752" t="s">
        <v>662</v>
      </c>
      <c r="C36" s="788"/>
      <c r="D36" s="801">
        <f>D37+D41+D42+D46</f>
        <v>822728</v>
      </c>
      <c r="E36" s="801">
        <f>E37+E41+E42+E46</f>
        <v>823884.28</v>
      </c>
      <c r="F36" s="804" t="e">
        <f>F37+F41+F42+F46</f>
        <v>#REF!</v>
      </c>
      <c r="G36" s="804" t="e">
        <f>G37+G41+G42+G46</f>
        <v>#REF!</v>
      </c>
      <c r="H36" s="756" t="e">
        <f t="shared" si="0"/>
        <v>#REF!</v>
      </c>
      <c r="I36" s="808">
        <f t="shared" si="6"/>
        <v>1156.280000000028</v>
      </c>
      <c r="J36" s="756" t="e">
        <f>G36-G11</f>
        <v>#REF!</v>
      </c>
      <c r="K36" s="809"/>
      <c r="L36" s="777"/>
      <c r="M36" s="810"/>
      <c r="N36" s="809"/>
      <c r="O36" s="809"/>
    </row>
    <row r="37" spans="1:15" s="811" customFormat="1" ht="21.75" customHeight="1">
      <c r="A37" s="130" t="s">
        <v>261</v>
      </c>
      <c r="B37" s="752" t="s">
        <v>776</v>
      </c>
      <c r="C37" s="788"/>
      <c r="D37" s="789">
        <f>D38</f>
        <v>154325</v>
      </c>
      <c r="E37" s="789">
        <f>E38</f>
        <v>154325</v>
      </c>
      <c r="F37" s="804" t="e">
        <f>F38+#REF!</f>
        <v>#REF!</v>
      </c>
      <c r="G37" s="804" t="e">
        <f>G38+#REF!</f>
        <v>#REF!</v>
      </c>
      <c r="H37" s="756" t="e">
        <f t="shared" si="0"/>
        <v>#REF!</v>
      </c>
      <c r="I37" s="808">
        <f t="shared" si="6"/>
        <v>0</v>
      </c>
      <c r="J37" s="809"/>
      <c r="K37" s="809"/>
      <c r="L37" s="810"/>
      <c r="M37" s="810"/>
      <c r="N37" s="809"/>
      <c r="O37" s="809"/>
    </row>
    <row r="38" spans="1:15" s="758" customFormat="1" ht="22.5" customHeight="1">
      <c r="A38" s="130"/>
      <c r="B38" s="462" t="s">
        <v>50</v>
      </c>
      <c r="C38" s="788"/>
      <c r="D38" s="789">
        <f>SUM(D39:D40)</f>
        <v>154325</v>
      </c>
      <c r="E38" s="801">
        <f>SUM(E39:E40)</f>
        <v>154325</v>
      </c>
      <c r="F38" s="804">
        <f>SUM(F39:F40)</f>
        <v>139045</v>
      </c>
      <c r="G38" s="804">
        <f>SUM(G39:G40)</f>
        <v>15280</v>
      </c>
      <c r="H38" s="756">
        <f t="shared" si="0"/>
        <v>154325</v>
      </c>
      <c r="I38" s="808">
        <f t="shared" si="6"/>
        <v>0</v>
      </c>
      <c r="J38" s="757"/>
      <c r="K38" s="757"/>
      <c r="L38" s="797"/>
      <c r="M38" s="812">
        <f>M39+M40</f>
        <v>-22716</v>
      </c>
      <c r="N38" s="757"/>
      <c r="O38" s="757"/>
    </row>
    <row r="39" spans="1:16" s="773" customFormat="1" ht="19.5" customHeight="1">
      <c r="A39" s="477"/>
      <c r="B39" s="813" t="s">
        <v>625</v>
      </c>
      <c r="C39" s="768">
        <v>1</v>
      </c>
      <c r="D39" s="814">
        <f>D18+D16+D20+D24+D25+D27+D28</f>
        <v>78500</v>
      </c>
      <c r="E39" s="814">
        <v>78500</v>
      </c>
      <c r="F39" s="815">
        <f>E39-G39</f>
        <v>63220</v>
      </c>
      <c r="G39" s="815">
        <v>15280</v>
      </c>
      <c r="H39" s="760">
        <f t="shared" si="0"/>
        <v>78500</v>
      </c>
      <c r="I39" s="808">
        <f t="shared" si="6"/>
        <v>0</v>
      </c>
      <c r="J39" s="816"/>
      <c r="K39" s="771"/>
      <c r="L39" s="817">
        <f>L18+L16+L20+L24+L25+L27+L28</f>
        <v>58980</v>
      </c>
      <c r="M39" s="817">
        <f>M18+M16+M20+M24+M25+M27+M28</f>
        <v>-19520</v>
      </c>
      <c r="N39" s="771"/>
      <c r="O39" s="771"/>
      <c r="P39" s="818"/>
    </row>
    <row r="40" spans="1:16" s="773" customFormat="1" ht="18" customHeight="1">
      <c r="A40" s="477"/>
      <c r="B40" s="813" t="s">
        <v>626</v>
      </c>
      <c r="C40" s="819">
        <v>0.45</v>
      </c>
      <c r="D40" s="814">
        <f>(D14+D15+D17+D19+D21)*45%</f>
        <v>75825</v>
      </c>
      <c r="E40" s="814">
        <v>75825</v>
      </c>
      <c r="F40" s="815">
        <f>E40-G40</f>
        <v>75825</v>
      </c>
      <c r="G40" s="815"/>
      <c r="H40" s="760">
        <f t="shared" si="0"/>
        <v>75825</v>
      </c>
      <c r="I40" s="808">
        <f t="shared" si="6"/>
        <v>0</v>
      </c>
      <c r="J40" s="771"/>
      <c r="K40" s="771"/>
      <c r="L40" s="817">
        <f>(L14+L15+L17+L19+L21)*47%</f>
        <v>75999</v>
      </c>
      <c r="M40" s="817">
        <f>(M14+M15+M17+M19+M21)*47%</f>
        <v>-3196</v>
      </c>
      <c r="N40" s="771"/>
      <c r="O40" s="771"/>
      <c r="P40" s="818"/>
    </row>
    <row r="41" spans="1:16" s="758" customFormat="1" ht="22.5" customHeight="1">
      <c r="A41" s="130" t="s">
        <v>262</v>
      </c>
      <c r="B41" s="752" t="s">
        <v>315</v>
      </c>
      <c r="C41" s="776">
        <v>0.6</v>
      </c>
      <c r="D41" s="801">
        <f>D29*60%</f>
        <v>72000</v>
      </c>
      <c r="E41" s="801">
        <f>D41</f>
        <v>72000</v>
      </c>
      <c r="F41" s="804">
        <v>46800</v>
      </c>
      <c r="G41" s="485"/>
      <c r="H41" s="756">
        <f t="shared" si="0"/>
        <v>46800</v>
      </c>
      <c r="I41" s="808">
        <f t="shared" si="6"/>
        <v>0</v>
      </c>
      <c r="J41" s="757"/>
      <c r="K41" s="757"/>
      <c r="L41" s="797"/>
      <c r="M41" s="797"/>
      <c r="N41" s="757"/>
      <c r="O41" s="757"/>
      <c r="P41" s="820"/>
    </row>
    <row r="42" spans="1:15" s="758" customFormat="1" ht="21.75" customHeight="1">
      <c r="A42" s="130" t="s">
        <v>263</v>
      </c>
      <c r="B42" s="752" t="s">
        <v>314</v>
      </c>
      <c r="C42" s="788"/>
      <c r="D42" s="801">
        <f>D43+D44+D45</f>
        <v>590293</v>
      </c>
      <c r="E42" s="801">
        <f>E43+E44+E45</f>
        <v>590293</v>
      </c>
      <c r="F42" s="804">
        <f>F43+F44+F45</f>
        <v>514525</v>
      </c>
      <c r="G42" s="804">
        <f>G43+G44+G45</f>
        <v>75768</v>
      </c>
      <c r="H42" s="756">
        <f t="shared" si="0"/>
        <v>590293</v>
      </c>
      <c r="I42" s="808">
        <f t="shared" si="6"/>
        <v>0</v>
      </c>
      <c r="J42" s="757"/>
      <c r="K42" s="757"/>
      <c r="L42" s="797"/>
      <c r="M42" s="797"/>
      <c r="N42" s="757"/>
      <c r="O42" s="757"/>
    </row>
    <row r="43" spans="1:15" s="758" customFormat="1" ht="21" customHeight="1">
      <c r="A43" s="64">
        <v>1</v>
      </c>
      <c r="B43" s="471" t="s">
        <v>310</v>
      </c>
      <c r="C43" s="776"/>
      <c r="D43" s="803">
        <v>515511</v>
      </c>
      <c r="E43" s="803">
        <v>515511</v>
      </c>
      <c r="F43" s="821">
        <f>E43-G43</f>
        <v>439743</v>
      </c>
      <c r="G43" s="821">
        <v>75768</v>
      </c>
      <c r="H43" s="760">
        <f t="shared" si="0"/>
        <v>515511</v>
      </c>
      <c r="I43" s="808">
        <f t="shared" si="6"/>
        <v>0</v>
      </c>
      <c r="J43" s="757"/>
      <c r="K43" s="757"/>
      <c r="L43" s="797"/>
      <c r="M43" s="797"/>
      <c r="N43" s="757"/>
      <c r="O43" s="757"/>
    </row>
    <row r="44" spans="1:15" s="758" customFormat="1" ht="20.25" customHeight="1">
      <c r="A44" s="64">
        <v>2</v>
      </c>
      <c r="B44" s="471" t="s">
        <v>313</v>
      </c>
      <c r="C44" s="776"/>
      <c r="D44" s="803">
        <v>74782</v>
      </c>
      <c r="E44" s="803">
        <v>74782</v>
      </c>
      <c r="F44" s="821">
        <f>E44-G44</f>
        <v>74782</v>
      </c>
      <c r="G44" s="485"/>
      <c r="H44" s="760">
        <f t="shared" si="0"/>
        <v>74782</v>
      </c>
      <c r="I44" s="808">
        <f t="shared" si="6"/>
        <v>0</v>
      </c>
      <c r="J44" s="806"/>
      <c r="K44" s="757"/>
      <c r="L44" s="797"/>
      <c r="M44" s="797"/>
      <c r="N44" s="757"/>
      <c r="O44" s="757"/>
    </row>
    <row r="45" spans="1:15" s="758" customFormat="1" ht="20.25" customHeight="1" hidden="1">
      <c r="A45" s="64">
        <v>3</v>
      </c>
      <c r="B45" s="471" t="s">
        <v>518</v>
      </c>
      <c r="C45" s="776"/>
      <c r="D45" s="803"/>
      <c r="E45" s="803"/>
      <c r="F45" s="821">
        <f>E45-G45</f>
        <v>0</v>
      </c>
      <c r="G45" s="485"/>
      <c r="H45" s="760">
        <f t="shared" si="0"/>
        <v>0</v>
      </c>
      <c r="I45" s="808">
        <f t="shared" si="6"/>
        <v>0</v>
      </c>
      <c r="J45" s="757"/>
      <c r="K45" s="757"/>
      <c r="L45" s="797"/>
      <c r="M45" s="797"/>
      <c r="N45" s="757"/>
      <c r="O45" s="757"/>
    </row>
    <row r="46" spans="1:15" s="758" customFormat="1" ht="24" customHeight="1">
      <c r="A46" s="130" t="s">
        <v>589</v>
      </c>
      <c r="B46" s="793" t="s">
        <v>603</v>
      </c>
      <c r="C46" s="776"/>
      <c r="D46" s="794">
        <f>D47+D48</f>
        <v>6110</v>
      </c>
      <c r="E46" s="795">
        <f>E47+E48</f>
        <v>7266.280000000001</v>
      </c>
      <c r="F46" s="822">
        <f>F47+F48</f>
        <v>23773.28</v>
      </c>
      <c r="G46" s="823">
        <f>G47</f>
        <v>0</v>
      </c>
      <c r="H46" s="760"/>
      <c r="I46" s="808"/>
      <c r="J46" s="757"/>
      <c r="K46" s="757"/>
      <c r="L46" s="797"/>
      <c r="M46" s="797"/>
      <c r="N46" s="757"/>
      <c r="O46" s="757"/>
    </row>
    <row r="47" spans="1:13" s="832" customFormat="1" ht="31.5" customHeight="1" hidden="1">
      <c r="A47" s="824"/>
      <c r="B47" s="825" t="s">
        <v>628</v>
      </c>
      <c r="C47" s="826"/>
      <c r="D47" s="827"/>
      <c r="E47" s="827"/>
      <c r="F47" s="828">
        <v>16507</v>
      </c>
      <c r="G47" s="829"/>
      <c r="H47" s="830"/>
      <c r="I47" s="831"/>
      <c r="L47" s="833"/>
      <c r="M47" s="833"/>
    </row>
    <row r="48" spans="1:15" s="758" customFormat="1" ht="38.25" customHeight="1">
      <c r="A48" s="130"/>
      <c r="B48" s="798" t="s">
        <v>863</v>
      </c>
      <c r="C48" s="776"/>
      <c r="D48" s="800">
        <v>6110</v>
      </c>
      <c r="E48" s="800">
        <f>'thu HP'!H10+'THU DV'!F10</f>
        <v>7266.280000000001</v>
      </c>
      <c r="F48" s="834">
        <f>E48</f>
        <v>7266.280000000001</v>
      </c>
      <c r="G48" s="485"/>
      <c r="H48" s="760"/>
      <c r="I48" s="808"/>
      <c r="J48" s="757"/>
      <c r="K48" s="757"/>
      <c r="L48" s="797"/>
      <c r="M48" s="797"/>
      <c r="N48" s="757"/>
      <c r="O48" s="757"/>
    </row>
    <row r="49" spans="1:15" s="758" customFormat="1" ht="40.5" customHeight="1">
      <c r="A49" s="130" t="s">
        <v>296</v>
      </c>
      <c r="B49" s="63" t="s">
        <v>723</v>
      </c>
      <c r="C49" s="776"/>
      <c r="D49" s="794">
        <f>D50</f>
        <v>0</v>
      </c>
      <c r="E49" s="801">
        <f>E50</f>
        <v>8319</v>
      </c>
      <c r="F49" s="822" t="e">
        <f>F50+#REF!</f>
        <v>#REF!</v>
      </c>
      <c r="G49" s="822" t="e">
        <f>G50+#REF!</f>
        <v>#REF!</v>
      </c>
      <c r="H49" s="760"/>
      <c r="I49" s="808"/>
      <c r="J49" s="757"/>
      <c r="K49" s="757"/>
      <c r="L49" s="797"/>
      <c r="M49" s="797"/>
      <c r="N49" s="806">
        <f>E49+E51</f>
        <v>20469</v>
      </c>
      <c r="O49" s="757"/>
    </row>
    <row r="50" spans="1:15" s="758" customFormat="1" ht="36" customHeight="1">
      <c r="A50" s="130"/>
      <c r="B50" s="802" t="s">
        <v>731</v>
      </c>
      <c r="C50" s="776"/>
      <c r="D50" s="799"/>
      <c r="E50" s="803">
        <v>8319</v>
      </c>
      <c r="F50" s="835"/>
      <c r="G50" s="821">
        <v>9045</v>
      </c>
      <c r="H50" s="760"/>
      <c r="I50" s="808"/>
      <c r="J50" s="757"/>
      <c r="K50" s="757"/>
      <c r="L50" s="797"/>
      <c r="M50" s="797"/>
      <c r="N50" s="757"/>
      <c r="O50" s="757"/>
    </row>
    <row r="51" spans="1:13" ht="45.75" customHeight="1">
      <c r="A51" s="130" t="s">
        <v>297</v>
      </c>
      <c r="B51" s="752" t="s">
        <v>607</v>
      </c>
      <c r="C51" s="256"/>
      <c r="D51" s="256"/>
      <c r="E51" s="801">
        <f>E52+E53</f>
        <v>12150</v>
      </c>
      <c r="F51" s="804">
        <f>F52+F53</f>
        <v>18846</v>
      </c>
      <c r="G51" s="804">
        <f>G52+G53</f>
        <v>0</v>
      </c>
      <c r="I51" s="836"/>
      <c r="L51" s="837"/>
      <c r="M51" s="837"/>
    </row>
    <row r="52" spans="1:13" ht="21.75" customHeight="1">
      <c r="A52" s="271">
        <v>1</v>
      </c>
      <c r="B52" s="76" t="s">
        <v>49</v>
      </c>
      <c r="C52" s="776">
        <v>0.6</v>
      </c>
      <c r="D52" s="256"/>
      <c r="E52" s="838">
        <v>7800</v>
      </c>
      <c r="F52" s="839">
        <f>27000*60%</f>
        <v>16200</v>
      </c>
      <c r="G52" s="840"/>
      <c r="L52" s="837"/>
      <c r="M52" s="837"/>
    </row>
    <row r="53" spans="1:13" ht="22.5" customHeight="1">
      <c r="A53" s="271">
        <v>2</v>
      </c>
      <c r="B53" s="471" t="s">
        <v>50</v>
      </c>
      <c r="C53" s="819">
        <v>0.45</v>
      </c>
      <c r="D53" s="256"/>
      <c r="E53" s="841">
        <f>E54</f>
        <v>4350</v>
      </c>
      <c r="F53" s="486">
        <f>F54</f>
        <v>2646</v>
      </c>
      <c r="G53" s="842"/>
      <c r="L53" s="837"/>
      <c r="M53" s="837"/>
    </row>
    <row r="54" spans="1:13" ht="23.25" customHeight="1">
      <c r="A54" s="271"/>
      <c r="B54" s="813" t="s">
        <v>626</v>
      </c>
      <c r="C54" s="256"/>
      <c r="D54" s="256"/>
      <c r="E54" s="838">
        <v>4350</v>
      </c>
      <c r="F54" s="485">
        <v>2646</v>
      </c>
      <c r="G54" s="842"/>
      <c r="L54" s="837"/>
      <c r="M54" s="837"/>
    </row>
    <row r="58" ht="15.75">
      <c r="B58" s="843"/>
    </row>
    <row r="59" ht="15.75">
      <c r="B59" s="843"/>
    </row>
    <row r="60" ht="15.75">
      <c r="B60" s="843"/>
    </row>
    <row r="61" ht="15.75">
      <c r="B61" s="843"/>
    </row>
    <row r="66" spans="2:3" ht="15.75">
      <c r="B66" s="844"/>
      <c r="C66" s="845"/>
    </row>
    <row r="74" ht="15.75">
      <c r="F74" s="846"/>
    </row>
    <row r="75" ht="15.75">
      <c r="F75" s="846"/>
    </row>
  </sheetData>
  <sheetProtection/>
  <mergeCells count="8">
    <mergeCell ref="F8:G8"/>
    <mergeCell ref="A6:E6"/>
    <mergeCell ref="A4:E4"/>
    <mergeCell ref="A8:A9"/>
    <mergeCell ref="B8:B9"/>
    <mergeCell ref="C8:C9"/>
    <mergeCell ref="D8:E8"/>
    <mergeCell ref="A5:E5"/>
  </mergeCells>
  <printOptions/>
  <pageMargins left="0.32" right="0.2" top="0.56" bottom="0.58" header="0.48" footer="0.34"/>
  <pageSetup horizontalDpi="600" verticalDpi="600" orientation="portrait" paperSize="9" r:id="rId4"/>
  <headerFooter alignWithMargins="0">
    <oddFooter>&amp;CPage &amp;P</oddFooter>
  </headerFooter>
  <drawing r:id="rId3"/>
  <legacyDrawing r:id="rId2"/>
</worksheet>
</file>

<file path=xl/worksheets/sheet10.xml><?xml version="1.0" encoding="utf-8"?>
<worksheet xmlns="http://schemas.openxmlformats.org/spreadsheetml/2006/main" xmlns:r="http://schemas.openxmlformats.org/officeDocument/2006/relationships">
  <sheetPr>
    <tabColor rgb="FF0070C0"/>
  </sheetPr>
  <dimension ref="A1:AL33"/>
  <sheetViews>
    <sheetView zoomScale="110" zoomScaleNormal="110" zoomScalePageLayoutView="0" workbookViewId="0" topLeftCell="A1">
      <selection activeCell="A6" sqref="A6:AJ6"/>
    </sheetView>
  </sheetViews>
  <sheetFormatPr defaultColWidth="10.00390625" defaultRowHeight="12.75"/>
  <cols>
    <col min="1" max="1" width="6.57421875" style="548" customWidth="1"/>
    <col min="2" max="2" width="24.28125" style="548" customWidth="1"/>
    <col min="3" max="3" width="10.28125" style="547" customWidth="1"/>
    <col min="4" max="4" width="10.28125" style="548" customWidth="1"/>
    <col min="5" max="5" width="10.421875" style="548" customWidth="1"/>
    <col min="6" max="6" width="10.140625" style="548" hidden="1" customWidth="1"/>
    <col min="7" max="7" width="8.8515625" style="548" hidden="1" customWidth="1"/>
    <col min="8" max="8" width="7.7109375" style="548" hidden="1" customWidth="1"/>
    <col min="9" max="9" width="7.7109375" style="549" hidden="1" customWidth="1"/>
    <col min="10" max="10" width="6.7109375" style="548" hidden="1" customWidth="1"/>
    <col min="11" max="11" width="9.421875" style="548" hidden="1" customWidth="1"/>
    <col min="12" max="12" width="10.7109375" style="548" hidden="1" customWidth="1"/>
    <col min="13" max="13" width="10.140625" style="548" hidden="1" customWidth="1"/>
    <col min="14" max="14" width="8.00390625" style="548" hidden="1" customWidth="1"/>
    <col min="15" max="15" width="7.7109375" style="548" hidden="1" customWidth="1"/>
    <col min="16" max="16" width="8.8515625" style="548" hidden="1" customWidth="1"/>
    <col min="17" max="17" width="9.140625" style="548" hidden="1" customWidth="1"/>
    <col min="18" max="18" width="10.57421875" style="548" hidden="1" customWidth="1"/>
    <col min="19" max="21" width="6.8515625" style="548" hidden="1" customWidth="1"/>
    <col min="22" max="24" width="9.140625" style="548" hidden="1" customWidth="1"/>
    <col min="25" max="25" width="8.8515625" style="592" hidden="1" customWidth="1"/>
    <col min="26" max="27" width="8.421875" style="592" hidden="1" customWidth="1"/>
    <col min="28" max="28" width="10.421875" style="592" customWidth="1"/>
    <col min="29" max="29" width="12.8515625" style="547" customWidth="1"/>
    <col min="30" max="30" width="10.28125" style="548" customWidth="1"/>
    <col min="31" max="31" width="8.8515625" style="548" customWidth="1"/>
    <col min="32" max="32" width="9.57421875" style="548" customWidth="1"/>
    <col min="33" max="33" width="13.00390625" style="548" customWidth="1"/>
    <col min="34" max="34" width="10.00390625" style="547" customWidth="1"/>
    <col min="35" max="35" width="10.00390625" style="548" customWidth="1"/>
    <col min="36" max="36" width="12.140625" style="548" customWidth="1"/>
    <col min="37" max="16384" width="10.00390625" style="551" customWidth="1"/>
  </cols>
  <sheetData>
    <row r="1" spans="1:28" ht="16.5">
      <c r="A1" s="1" t="s">
        <v>65</v>
      </c>
      <c r="B1" s="1"/>
      <c r="K1" s="550"/>
      <c r="L1" s="550" t="s">
        <v>447</v>
      </c>
      <c r="M1" s="550"/>
      <c r="N1" s="550"/>
      <c r="O1" s="550"/>
      <c r="Y1" s="128"/>
      <c r="Z1" s="128"/>
      <c r="AA1" s="128"/>
      <c r="AB1" s="128"/>
    </row>
    <row r="2" spans="1:28" ht="18.75">
      <c r="A2" s="1" t="s">
        <v>64</v>
      </c>
      <c r="B2" s="1"/>
      <c r="K2" s="552"/>
      <c r="L2" s="552" t="s">
        <v>164</v>
      </c>
      <c r="M2" s="552"/>
      <c r="N2" s="552"/>
      <c r="O2" s="552"/>
      <c r="Y2" s="553"/>
      <c r="Z2" s="553"/>
      <c r="AA2" s="553"/>
      <c r="AB2" s="553"/>
    </row>
    <row r="3" spans="1:28" ht="15" customHeight="1">
      <c r="A3" s="1"/>
      <c r="B3" s="1"/>
      <c r="I3" s="129"/>
      <c r="K3" s="552"/>
      <c r="L3" s="552"/>
      <c r="M3" s="552"/>
      <c r="N3" s="552"/>
      <c r="O3" s="552"/>
      <c r="Y3" s="553"/>
      <c r="Z3" s="553"/>
      <c r="AA3" s="553"/>
      <c r="AB3" s="553"/>
    </row>
    <row r="4" spans="1:36" ht="21" customHeight="1">
      <c r="A4" s="1024" t="s">
        <v>116</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row>
    <row r="5" spans="1:36" ht="18.75" customHeight="1">
      <c r="A5" s="1031" t="s">
        <v>879</v>
      </c>
      <c r="B5" s="1031"/>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1031"/>
      <c r="AJ5" s="1031"/>
    </row>
    <row r="6" spans="1:36" ht="18.75" customHeight="1">
      <c r="A6" s="1034" t="s">
        <v>888</v>
      </c>
      <c r="B6" s="1034"/>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4"/>
      <c r="AI6" s="1034"/>
      <c r="AJ6" s="1034"/>
    </row>
    <row r="7" spans="2:36" ht="18.75">
      <c r="B7" s="554"/>
      <c r="G7" s="554"/>
      <c r="J7" s="555"/>
      <c r="K7" s="555"/>
      <c r="L7" s="1032"/>
      <c r="M7" s="1032"/>
      <c r="N7" s="1032" t="s">
        <v>165</v>
      </c>
      <c r="O7" s="1032"/>
      <c r="P7" s="556"/>
      <c r="V7" s="1032"/>
      <c r="W7" s="1032"/>
      <c r="X7" s="1032"/>
      <c r="Y7" s="1032"/>
      <c r="Z7" s="557"/>
      <c r="AA7" s="557"/>
      <c r="AB7" s="557"/>
      <c r="AE7" s="558"/>
      <c r="AF7" s="558"/>
      <c r="AG7" s="558"/>
      <c r="AH7" s="558"/>
      <c r="AI7" s="1033" t="s">
        <v>292</v>
      </c>
      <c r="AJ7" s="1033"/>
    </row>
    <row r="8" spans="1:36" ht="23.25" customHeight="1">
      <c r="A8" s="993" t="s">
        <v>293</v>
      </c>
      <c r="B8" s="1006" t="s">
        <v>166</v>
      </c>
      <c r="C8" s="1028" t="s">
        <v>833</v>
      </c>
      <c r="D8" s="1029"/>
      <c r="E8" s="1030"/>
      <c r="F8" s="1021" t="s">
        <v>167</v>
      </c>
      <c r="G8" s="1022"/>
      <c r="H8" s="1022"/>
      <c r="I8" s="1022"/>
      <c r="J8" s="1023"/>
      <c r="K8" s="1021" t="s">
        <v>168</v>
      </c>
      <c r="L8" s="1022"/>
      <c r="M8" s="1023"/>
      <c r="N8" s="993" t="s">
        <v>169</v>
      </c>
      <c r="O8" s="1006" t="s">
        <v>170</v>
      </c>
      <c r="P8" s="1028" t="s">
        <v>171</v>
      </c>
      <c r="Q8" s="1029"/>
      <c r="R8" s="1030"/>
      <c r="S8" s="1028" t="s">
        <v>172</v>
      </c>
      <c r="T8" s="1029"/>
      <c r="U8" s="1030"/>
      <c r="V8" s="1012" t="s">
        <v>173</v>
      </c>
      <c r="W8" s="1013"/>
      <c r="X8" s="1014"/>
      <c r="Y8" s="1025" t="s">
        <v>174</v>
      </c>
      <c r="Z8" s="1025"/>
      <c r="AA8" s="1025"/>
      <c r="AB8" s="992" t="s">
        <v>180</v>
      </c>
      <c r="AC8" s="992"/>
      <c r="AD8" s="992"/>
      <c r="AE8" s="992"/>
      <c r="AF8" s="992"/>
      <c r="AG8" s="992"/>
      <c r="AH8" s="992"/>
      <c r="AI8" s="992"/>
      <c r="AJ8" s="992"/>
    </row>
    <row r="9" spans="1:36" ht="21" customHeight="1">
      <c r="A9" s="995"/>
      <c r="B9" s="1007"/>
      <c r="C9" s="1006" t="s">
        <v>327</v>
      </c>
      <c r="D9" s="1018" t="s">
        <v>212</v>
      </c>
      <c r="E9" s="1006" t="s">
        <v>213</v>
      </c>
      <c r="F9" s="1006" t="s">
        <v>175</v>
      </c>
      <c r="G9" s="1019"/>
      <c r="H9" s="1019"/>
      <c r="I9" s="1019"/>
      <c r="J9" s="1020"/>
      <c r="K9" s="1006" t="s">
        <v>176</v>
      </c>
      <c r="L9" s="1026" t="s">
        <v>184</v>
      </c>
      <c r="M9" s="1027"/>
      <c r="N9" s="995"/>
      <c r="O9" s="1007"/>
      <c r="P9" s="1007" t="s">
        <v>176</v>
      </c>
      <c r="Q9" s="1002" t="s">
        <v>417</v>
      </c>
      <c r="R9" s="1003"/>
      <c r="S9" s="1006" t="s">
        <v>176</v>
      </c>
      <c r="T9" s="1035" t="s">
        <v>417</v>
      </c>
      <c r="U9" s="1036"/>
      <c r="V9" s="1015"/>
      <c r="W9" s="1016"/>
      <c r="X9" s="1017"/>
      <c r="Y9" s="1025"/>
      <c r="Z9" s="1025"/>
      <c r="AA9" s="1025"/>
      <c r="AB9" s="993" t="s">
        <v>181</v>
      </c>
      <c r="AC9" s="998" t="s">
        <v>834</v>
      </c>
      <c r="AD9" s="999"/>
      <c r="AE9" s="999"/>
      <c r="AF9" s="999"/>
      <c r="AG9" s="1000"/>
      <c r="AH9" s="993" t="s">
        <v>460</v>
      </c>
      <c r="AI9" s="992" t="s">
        <v>835</v>
      </c>
      <c r="AJ9" s="992"/>
    </row>
    <row r="10" spans="1:36" ht="36.75" customHeight="1">
      <c r="A10" s="995"/>
      <c r="B10" s="1007"/>
      <c r="C10" s="1007"/>
      <c r="D10" s="1018"/>
      <c r="E10" s="1007"/>
      <c r="F10" s="1007"/>
      <c r="G10" s="1006" t="s">
        <v>185</v>
      </c>
      <c r="H10" s="1006" t="s">
        <v>186</v>
      </c>
      <c r="I10" s="1009" t="s">
        <v>187</v>
      </c>
      <c r="J10" s="1006" t="s">
        <v>188</v>
      </c>
      <c r="K10" s="1007"/>
      <c r="L10" s="993" t="s">
        <v>120</v>
      </c>
      <c r="M10" s="993" t="s">
        <v>189</v>
      </c>
      <c r="N10" s="995"/>
      <c r="O10" s="1007"/>
      <c r="P10" s="1007"/>
      <c r="Q10" s="1004"/>
      <c r="R10" s="1005"/>
      <c r="S10" s="1007"/>
      <c r="T10" s="1004"/>
      <c r="U10" s="1005"/>
      <c r="V10" s="1007" t="s">
        <v>190</v>
      </c>
      <c r="W10" s="1007" t="s">
        <v>127</v>
      </c>
      <c r="X10" s="1007" t="s">
        <v>128</v>
      </c>
      <c r="Y10" s="1025" t="s">
        <v>190</v>
      </c>
      <c r="Z10" s="1025" t="s">
        <v>191</v>
      </c>
      <c r="AA10" s="1001" t="s">
        <v>130</v>
      </c>
      <c r="AB10" s="996"/>
      <c r="AC10" s="998" t="s">
        <v>214</v>
      </c>
      <c r="AD10" s="999"/>
      <c r="AE10" s="1000"/>
      <c r="AF10" s="993" t="s">
        <v>182</v>
      </c>
      <c r="AG10" s="993" t="s">
        <v>575</v>
      </c>
      <c r="AH10" s="996"/>
      <c r="AI10" s="993" t="s">
        <v>183</v>
      </c>
      <c r="AJ10" s="993" t="s">
        <v>682</v>
      </c>
    </row>
    <row r="11" spans="1:36" ht="15.75" customHeight="1">
      <c r="A11" s="995"/>
      <c r="B11" s="1007"/>
      <c r="C11" s="1007"/>
      <c r="D11" s="1018"/>
      <c r="E11" s="1007"/>
      <c r="F11" s="1007"/>
      <c r="G11" s="1007"/>
      <c r="H11" s="1007"/>
      <c r="I11" s="1010"/>
      <c r="J11" s="1007"/>
      <c r="K11" s="1007"/>
      <c r="L11" s="995"/>
      <c r="M11" s="995"/>
      <c r="N11" s="995"/>
      <c r="O11" s="1007"/>
      <c r="P11" s="1007"/>
      <c r="Q11" s="993" t="s">
        <v>192</v>
      </c>
      <c r="R11" s="993" t="s">
        <v>193</v>
      </c>
      <c r="S11" s="1007"/>
      <c r="T11" s="993" t="s">
        <v>194</v>
      </c>
      <c r="U11" s="993" t="s">
        <v>195</v>
      </c>
      <c r="V11" s="1007"/>
      <c r="W11" s="1007"/>
      <c r="X11" s="1007"/>
      <c r="Y11" s="1025"/>
      <c r="Z11" s="1025"/>
      <c r="AA11" s="1001"/>
      <c r="AB11" s="996"/>
      <c r="AC11" s="993" t="s">
        <v>196</v>
      </c>
      <c r="AD11" s="993" t="s">
        <v>215</v>
      </c>
      <c r="AE11" s="993" t="s">
        <v>197</v>
      </c>
      <c r="AF11" s="995"/>
      <c r="AG11" s="996"/>
      <c r="AH11" s="996"/>
      <c r="AI11" s="995"/>
      <c r="AJ11" s="995"/>
    </row>
    <row r="12" spans="1:36" ht="76.5" customHeight="1">
      <c r="A12" s="994"/>
      <c r="B12" s="1008"/>
      <c r="C12" s="1008"/>
      <c r="D12" s="1015"/>
      <c r="E12" s="1008"/>
      <c r="F12" s="1008"/>
      <c r="G12" s="1008"/>
      <c r="H12" s="1008"/>
      <c r="I12" s="1011"/>
      <c r="J12" s="1008"/>
      <c r="K12" s="1008"/>
      <c r="L12" s="994"/>
      <c r="M12" s="994"/>
      <c r="N12" s="994"/>
      <c r="O12" s="1008"/>
      <c r="P12" s="1008"/>
      <c r="Q12" s="994"/>
      <c r="R12" s="994"/>
      <c r="S12" s="1008"/>
      <c r="T12" s="994"/>
      <c r="U12" s="994"/>
      <c r="V12" s="1008"/>
      <c r="W12" s="1008"/>
      <c r="X12" s="1008"/>
      <c r="Y12" s="1025"/>
      <c r="Z12" s="1025"/>
      <c r="AA12" s="1001"/>
      <c r="AB12" s="997"/>
      <c r="AC12" s="994"/>
      <c r="AD12" s="994"/>
      <c r="AE12" s="994"/>
      <c r="AF12" s="994"/>
      <c r="AG12" s="997"/>
      <c r="AH12" s="997"/>
      <c r="AI12" s="994"/>
      <c r="AJ12" s="994"/>
    </row>
    <row r="13" spans="1:36" ht="89.25" customHeight="1" hidden="1">
      <c r="A13" s="560"/>
      <c r="B13" s="560" t="s">
        <v>216</v>
      </c>
      <c r="C13" s="561"/>
      <c r="D13" s="560"/>
      <c r="E13" s="560"/>
      <c r="F13" s="560"/>
      <c r="G13" s="560" t="s">
        <v>217</v>
      </c>
      <c r="H13" s="560" t="s">
        <v>217</v>
      </c>
      <c r="I13" s="560" t="s">
        <v>217</v>
      </c>
      <c r="J13" s="560" t="s">
        <v>217</v>
      </c>
      <c r="K13" s="560" t="s">
        <v>217</v>
      </c>
      <c r="L13" s="560" t="s">
        <v>217</v>
      </c>
      <c r="M13" s="560" t="s">
        <v>217</v>
      </c>
      <c r="N13" s="560" t="s">
        <v>217</v>
      </c>
      <c r="O13" s="560" t="s">
        <v>217</v>
      </c>
      <c r="P13" s="562">
        <v>1</v>
      </c>
      <c r="Q13" s="563"/>
      <c r="R13" s="560"/>
      <c r="S13" s="562">
        <v>1</v>
      </c>
      <c r="T13" s="562"/>
      <c r="U13" s="562"/>
      <c r="V13" s="562"/>
      <c r="W13" s="562">
        <v>1</v>
      </c>
      <c r="X13" s="562">
        <v>1</v>
      </c>
      <c r="Y13" s="564"/>
      <c r="Z13" s="562">
        <v>1</v>
      </c>
      <c r="AA13" s="565">
        <v>1</v>
      </c>
      <c r="AB13" s="565"/>
      <c r="AC13" s="566"/>
      <c r="AD13" s="567" t="s">
        <v>218</v>
      </c>
      <c r="AE13" s="567"/>
      <c r="AF13" s="565">
        <v>1</v>
      </c>
      <c r="AG13" s="565"/>
      <c r="AH13" s="566"/>
      <c r="AI13" s="568"/>
      <c r="AJ13" s="568"/>
    </row>
    <row r="14" spans="1:36" ht="18.75">
      <c r="A14" s="569"/>
      <c r="B14" s="570" t="s">
        <v>456</v>
      </c>
      <c r="C14" s="571">
        <f>+SUM(C15:C29)</f>
        <v>60324</v>
      </c>
      <c r="D14" s="571">
        <f>+SUM(D15:D29)</f>
        <v>52005</v>
      </c>
      <c r="E14" s="571">
        <f aca="true" t="shared" si="0" ref="E14:AF14">+SUM(E15:E29)</f>
        <v>8319</v>
      </c>
      <c r="F14" s="571">
        <f t="shared" si="0"/>
        <v>0</v>
      </c>
      <c r="G14" s="571">
        <f t="shared" si="0"/>
        <v>0</v>
      </c>
      <c r="H14" s="571">
        <f t="shared" si="0"/>
        <v>0</v>
      </c>
      <c r="I14" s="572">
        <f t="shared" si="0"/>
        <v>0</v>
      </c>
      <c r="J14" s="571">
        <f t="shared" si="0"/>
        <v>0</v>
      </c>
      <c r="K14" s="571">
        <f t="shared" si="0"/>
        <v>0</v>
      </c>
      <c r="L14" s="571">
        <f t="shared" si="0"/>
        <v>0</v>
      </c>
      <c r="M14" s="571">
        <f t="shared" si="0"/>
        <v>0</v>
      </c>
      <c r="N14" s="571">
        <f t="shared" si="0"/>
        <v>0</v>
      </c>
      <c r="O14" s="571">
        <f t="shared" si="0"/>
        <v>0</v>
      </c>
      <c r="P14" s="571">
        <f t="shared" si="0"/>
        <v>0</v>
      </c>
      <c r="Q14" s="571">
        <f t="shared" si="0"/>
        <v>0</v>
      </c>
      <c r="R14" s="571">
        <f t="shared" si="0"/>
        <v>0</v>
      </c>
      <c r="S14" s="571">
        <f t="shared" si="0"/>
        <v>0</v>
      </c>
      <c r="T14" s="571">
        <f t="shared" si="0"/>
        <v>0</v>
      </c>
      <c r="U14" s="571">
        <f t="shared" si="0"/>
        <v>0</v>
      </c>
      <c r="V14" s="571">
        <f t="shared" si="0"/>
        <v>0</v>
      </c>
      <c r="W14" s="571">
        <f t="shared" si="0"/>
        <v>0</v>
      </c>
      <c r="X14" s="571">
        <f t="shared" si="0"/>
        <v>0</v>
      </c>
      <c r="Y14" s="571">
        <f t="shared" si="0"/>
        <v>0</v>
      </c>
      <c r="Z14" s="571">
        <f t="shared" si="0"/>
        <v>0</v>
      </c>
      <c r="AA14" s="571">
        <f t="shared" si="0"/>
        <v>0</v>
      </c>
      <c r="AB14" s="571">
        <f>+SUM(AB15:AB29)</f>
        <v>122302</v>
      </c>
      <c r="AC14" s="571">
        <f t="shared" si="0"/>
        <v>10700</v>
      </c>
      <c r="AD14" s="571">
        <f t="shared" si="0"/>
        <v>10700</v>
      </c>
      <c r="AE14" s="571">
        <f t="shared" si="0"/>
        <v>0</v>
      </c>
      <c r="AF14" s="571">
        <f t="shared" si="0"/>
        <v>8319</v>
      </c>
      <c r="AG14" s="571">
        <f>SUM(AG15:AG29)</f>
        <v>103283</v>
      </c>
      <c r="AH14" s="571">
        <f>+SUM(AH15:AH29)</f>
        <v>122302</v>
      </c>
      <c r="AI14" s="571">
        <f>+SUM(AI15:AI29)</f>
        <v>113983</v>
      </c>
      <c r="AJ14" s="571">
        <f>+SUM(AJ15:AJ29)</f>
        <v>8319</v>
      </c>
    </row>
    <row r="15" spans="1:38" ht="15.75">
      <c r="A15" s="573">
        <v>1</v>
      </c>
      <c r="B15" s="11" t="s">
        <v>198</v>
      </c>
      <c r="C15" s="571">
        <f>+D15+E15</f>
        <v>9058</v>
      </c>
      <c r="D15" s="9">
        <f>+PL06!E12</f>
        <v>9058</v>
      </c>
      <c r="E15" s="9">
        <v>0</v>
      </c>
      <c r="F15" s="9">
        <f aca="true" t="shared" si="1" ref="F15:F29">SUM(G15:J15)</f>
        <v>0</v>
      </c>
      <c r="G15" s="574"/>
      <c r="H15" s="574"/>
      <c r="I15" s="574"/>
      <c r="J15" s="575"/>
      <c r="K15" s="575">
        <f>+L15+M15</f>
        <v>0</v>
      </c>
      <c r="L15" s="576"/>
      <c r="M15" s="573"/>
      <c r="N15" s="577"/>
      <c r="O15" s="575"/>
      <c r="P15" s="9">
        <f aca="true" t="shared" si="2" ref="P15:P29">+Q15+R15</f>
        <v>0</v>
      </c>
      <c r="Q15" s="576"/>
      <c r="R15" s="576"/>
      <c r="S15" s="575">
        <f>T15+U15</f>
        <v>0</v>
      </c>
      <c r="T15" s="575"/>
      <c r="U15" s="575"/>
      <c r="V15" s="575">
        <f>SUM(W15:X15)</f>
        <v>0</v>
      </c>
      <c r="W15" s="575"/>
      <c r="X15" s="575"/>
      <c r="Y15" s="578">
        <f>+Z15+AA15</f>
        <v>0</v>
      </c>
      <c r="Z15" s="577"/>
      <c r="AA15" s="577"/>
      <c r="AB15" s="579">
        <f>SUM(AD15:AG15)</f>
        <v>8159</v>
      </c>
      <c r="AC15" s="580">
        <f>AD15</f>
        <v>1208</v>
      </c>
      <c r="AD15" s="580">
        <f>+PL06!E38</f>
        <v>1208</v>
      </c>
      <c r="AE15" s="580"/>
      <c r="AF15" s="580">
        <v>0</v>
      </c>
      <c r="AG15" s="580">
        <f>+PL06!E39</f>
        <v>6951</v>
      </c>
      <c r="AH15" s="581">
        <f aca="true" t="shared" si="3" ref="AH15:AH29">SUM(AI15:AJ15)</f>
        <v>8159</v>
      </c>
      <c r="AI15" s="582">
        <f>+AG15+AC15</f>
        <v>8159</v>
      </c>
      <c r="AJ15" s="580"/>
      <c r="AK15" s="583"/>
      <c r="AL15" s="583"/>
    </row>
    <row r="16" spans="1:37" ht="15.75">
      <c r="A16" s="573">
        <v>2</v>
      </c>
      <c r="B16" s="11" t="s">
        <v>199</v>
      </c>
      <c r="C16" s="571">
        <f aca="true" t="shared" si="4" ref="C16:C29">+D16+E16</f>
        <v>5998</v>
      </c>
      <c r="D16" s="9">
        <f>+PL06!F12</f>
        <v>5998</v>
      </c>
      <c r="E16" s="9"/>
      <c r="F16" s="9">
        <f t="shared" si="1"/>
        <v>0</v>
      </c>
      <c r="G16" s="574"/>
      <c r="H16" s="574"/>
      <c r="I16" s="574"/>
      <c r="J16" s="9"/>
      <c r="K16" s="575">
        <f aca="true" t="shared" si="5" ref="K16:K29">+L16+M16</f>
        <v>0</v>
      </c>
      <c r="L16" s="576"/>
      <c r="M16" s="573"/>
      <c r="N16" s="580"/>
      <c r="O16" s="9"/>
      <c r="P16" s="9">
        <f t="shared" si="2"/>
        <v>0</v>
      </c>
      <c r="Q16" s="576"/>
      <c r="R16" s="576"/>
      <c r="S16" s="9">
        <f aca="true" t="shared" si="6" ref="S16:S29">T16+U16</f>
        <v>0</v>
      </c>
      <c r="T16" s="9"/>
      <c r="U16" s="9"/>
      <c r="V16" s="9">
        <f>SUM(W16:X16)</f>
        <v>0</v>
      </c>
      <c r="W16" s="9"/>
      <c r="X16" s="9"/>
      <c r="Y16" s="578">
        <f aca="true" t="shared" si="7" ref="Y16:Y29">+Z16+AA16</f>
        <v>0</v>
      </c>
      <c r="Z16" s="577"/>
      <c r="AA16" s="577"/>
      <c r="AB16" s="579">
        <f aca="true" t="shared" si="8" ref="AB16:AB28">SUM(AD16:AG16)</f>
        <v>7300</v>
      </c>
      <c r="AC16" s="580">
        <f aca="true" t="shared" si="9" ref="AC16:AC29">AD16</f>
        <v>718</v>
      </c>
      <c r="AD16" s="580">
        <f>+PL06!F38</f>
        <v>718</v>
      </c>
      <c r="AE16" s="580"/>
      <c r="AF16" s="580"/>
      <c r="AG16" s="580">
        <f>+PL06!F39</f>
        <v>6582</v>
      </c>
      <c r="AH16" s="581">
        <f t="shared" si="3"/>
        <v>7300</v>
      </c>
      <c r="AI16" s="582">
        <f aca="true" t="shared" si="10" ref="AI16:AI25">AB16</f>
        <v>7300</v>
      </c>
      <c r="AJ16" s="580"/>
      <c r="AK16" s="583"/>
    </row>
    <row r="17" spans="1:37" ht="15.75">
      <c r="A17" s="573">
        <v>3</v>
      </c>
      <c r="B17" s="11" t="s">
        <v>200</v>
      </c>
      <c r="C17" s="571">
        <f t="shared" si="4"/>
        <v>6360</v>
      </c>
      <c r="D17" s="9">
        <f>+PL06!G12</f>
        <v>6360</v>
      </c>
      <c r="E17" s="9"/>
      <c r="F17" s="9">
        <f t="shared" si="1"/>
        <v>0</v>
      </c>
      <c r="G17" s="574"/>
      <c r="H17" s="574"/>
      <c r="I17" s="574"/>
      <c r="J17" s="9"/>
      <c r="K17" s="575">
        <f t="shared" si="5"/>
        <v>0</v>
      </c>
      <c r="L17" s="576"/>
      <c r="M17" s="573"/>
      <c r="N17" s="580"/>
      <c r="O17" s="9"/>
      <c r="P17" s="9">
        <f t="shared" si="2"/>
        <v>0</v>
      </c>
      <c r="Q17" s="576"/>
      <c r="R17" s="576"/>
      <c r="S17" s="9">
        <f t="shared" si="6"/>
        <v>0</v>
      </c>
      <c r="T17" s="9"/>
      <c r="U17" s="9"/>
      <c r="V17" s="9">
        <f aca="true" t="shared" si="11" ref="V17:V29">SUM(W17:X17)</f>
        <v>0</v>
      </c>
      <c r="W17" s="9"/>
      <c r="X17" s="9"/>
      <c r="Y17" s="578">
        <f t="shared" si="7"/>
        <v>0</v>
      </c>
      <c r="Z17" s="577"/>
      <c r="AA17" s="577"/>
      <c r="AB17" s="579">
        <f t="shared" si="8"/>
        <v>7379</v>
      </c>
      <c r="AC17" s="580">
        <f t="shared" si="9"/>
        <v>810</v>
      </c>
      <c r="AD17" s="580">
        <f>+PL06!G38</f>
        <v>810</v>
      </c>
      <c r="AE17" s="580"/>
      <c r="AF17" s="580"/>
      <c r="AG17" s="580">
        <f>+PL06!G39</f>
        <v>6569</v>
      </c>
      <c r="AH17" s="581">
        <f t="shared" si="3"/>
        <v>7379</v>
      </c>
      <c r="AI17" s="582">
        <f t="shared" si="10"/>
        <v>7379</v>
      </c>
      <c r="AJ17" s="580"/>
      <c r="AK17" s="583"/>
    </row>
    <row r="18" spans="1:37" ht="15.75">
      <c r="A18" s="573">
        <v>4</v>
      </c>
      <c r="B18" s="11" t="s">
        <v>201</v>
      </c>
      <c r="C18" s="571">
        <f t="shared" si="4"/>
        <v>3588</v>
      </c>
      <c r="D18" s="9">
        <f>+PL06!H12</f>
        <v>3588</v>
      </c>
      <c r="E18" s="9"/>
      <c r="F18" s="9">
        <f t="shared" si="1"/>
        <v>0</v>
      </c>
      <c r="G18" s="574"/>
      <c r="H18" s="574"/>
      <c r="I18" s="574"/>
      <c r="J18" s="9"/>
      <c r="K18" s="575">
        <f t="shared" si="5"/>
        <v>0</v>
      </c>
      <c r="L18" s="576"/>
      <c r="M18" s="573"/>
      <c r="N18" s="580"/>
      <c r="O18" s="9"/>
      <c r="P18" s="9">
        <f t="shared" si="2"/>
        <v>0</v>
      </c>
      <c r="Q18" s="576"/>
      <c r="R18" s="576"/>
      <c r="S18" s="9">
        <f t="shared" si="6"/>
        <v>0</v>
      </c>
      <c r="T18" s="9"/>
      <c r="U18" s="9"/>
      <c r="V18" s="9">
        <f t="shared" si="11"/>
        <v>0</v>
      </c>
      <c r="W18" s="9"/>
      <c r="X18" s="9"/>
      <c r="Y18" s="578">
        <f t="shared" si="7"/>
        <v>0</v>
      </c>
      <c r="Z18" s="577"/>
      <c r="AA18" s="577"/>
      <c r="AB18" s="579">
        <f t="shared" si="8"/>
        <v>7422</v>
      </c>
      <c r="AC18" s="580">
        <f t="shared" si="9"/>
        <v>613</v>
      </c>
      <c r="AD18" s="580">
        <f>+PL06!H38</f>
        <v>613</v>
      </c>
      <c r="AE18" s="580"/>
      <c r="AF18" s="580"/>
      <c r="AG18" s="580">
        <f>+PL06!H39</f>
        <v>6809</v>
      </c>
      <c r="AH18" s="581">
        <f t="shared" si="3"/>
        <v>7422</v>
      </c>
      <c r="AI18" s="582">
        <f t="shared" si="10"/>
        <v>7422</v>
      </c>
      <c r="AJ18" s="580"/>
      <c r="AK18" s="583"/>
    </row>
    <row r="19" spans="1:36" ht="15.75">
      <c r="A19" s="573">
        <v>5</v>
      </c>
      <c r="B19" s="11" t="s">
        <v>202</v>
      </c>
      <c r="C19" s="571">
        <f t="shared" si="4"/>
        <v>6090</v>
      </c>
      <c r="D19" s="9">
        <f>+PL06!I13</f>
        <v>6090</v>
      </c>
      <c r="E19" s="9"/>
      <c r="F19" s="9">
        <f t="shared" si="1"/>
        <v>0</v>
      </c>
      <c r="G19" s="574"/>
      <c r="H19" s="574"/>
      <c r="I19" s="574"/>
      <c r="J19" s="9"/>
      <c r="K19" s="575">
        <f t="shared" si="5"/>
        <v>0</v>
      </c>
      <c r="L19" s="576"/>
      <c r="M19" s="573"/>
      <c r="N19" s="580"/>
      <c r="O19" s="9"/>
      <c r="P19" s="9">
        <f t="shared" si="2"/>
        <v>0</v>
      </c>
      <c r="Q19" s="576"/>
      <c r="R19" s="576"/>
      <c r="S19" s="9">
        <f t="shared" si="6"/>
        <v>0</v>
      </c>
      <c r="T19" s="9"/>
      <c r="U19" s="9"/>
      <c r="V19" s="9">
        <f t="shared" si="11"/>
        <v>0</v>
      </c>
      <c r="W19" s="9"/>
      <c r="X19" s="9"/>
      <c r="Y19" s="578">
        <f t="shared" si="7"/>
        <v>0</v>
      </c>
      <c r="Z19" s="577"/>
      <c r="AA19" s="577"/>
      <c r="AB19" s="579">
        <f t="shared" si="8"/>
        <v>7428</v>
      </c>
      <c r="AC19" s="580">
        <f t="shared" si="9"/>
        <v>985</v>
      </c>
      <c r="AD19" s="580">
        <f>+PL06!I38</f>
        <v>985</v>
      </c>
      <c r="AE19" s="580"/>
      <c r="AF19" s="580"/>
      <c r="AG19" s="580">
        <f>+PL06!I39</f>
        <v>6443</v>
      </c>
      <c r="AH19" s="581">
        <f t="shared" si="3"/>
        <v>7428</v>
      </c>
      <c r="AI19" s="582">
        <f t="shared" si="10"/>
        <v>7428</v>
      </c>
      <c r="AJ19" s="580"/>
    </row>
    <row r="20" spans="1:36" s="584" customFormat="1" ht="15.75">
      <c r="A20" s="573">
        <v>6</v>
      </c>
      <c r="B20" s="11" t="s">
        <v>203</v>
      </c>
      <c r="C20" s="571">
        <f t="shared" si="4"/>
        <v>1059</v>
      </c>
      <c r="D20" s="9">
        <f>+PL06!J13</f>
        <v>1059</v>
      </c>
      <c r="E20" s="575"/>
      <c r="F20" s="9">
        <f t="shared" si="1"/>
        <v>0</v>
      </c>
      <c r="G20" s="574"/>
      <c r="H20" s="574"/>
      <c r="I20" s="574"/>
      <c r="J20" s="9"/>
      <c r="K20" s="575">
        <f t="shared" si="5"/>
        <v>0</v>
      </c>
      <c r="L20" s="576"/>
      <c r="M20" s="573"/>
      <c r="N20" s="580"/>
      <c r="O20" s="9"/>
      <c r="P20" s="9">
        <f t="shared" si="2"/>
        <v>0</v>
      </c>
      <c r="Q20" s="576"/>
      <c r="R20" s="576"/>
      <c r="S20" s="9">
        <f t="shared" si="6"/>
        <v>0</v>
      </c>
      <c r="T20" s="9"/>
      <c r="U20" s="9"/>
      <c r="V20" s="9">
        <f t="shared" si="11"/>
        <v>0</v>
      </c>
      <c r="W20" s="9"/>
      <c r="X20" s="9"/>
      <c r="Y20" s="578">
        <f t="shared" si="7"/>
        <v>0</v>
      </c>
      <c r="Z20" s="577"/>
      <c r="AA20" s="577"/>
      <c r="AB20" s="579">
        <f t="shared" si="8"/>
        <v>6592</v>
      </c>
      <c r="AC20" s="580">
        <f t="shared" si="9"/>
        <v>284</v>
      </c>
      <c r="AD20" s="580">
        <f>+PL06!J38</f>
        <v>284</v>
      </c>
      <c r="AE20" s="580"/>
      <c r="AF20" s="580"/>
      <c r="AG20" s="580">
        <f>+PL06!J39</f>
        <v>6308</v>
      </c>
      <c r="AH20" s="581">
        <f t="shared" si="3"/>
        <v>6592</v>
      </c>
      <c r="AI20" s="582">
        <f t="shared" si="10"/>
        <v>6592</v>
      </c>
      <c r="AJ20" s="580"/>
    </row>
    <row r="21" spans="1:36" ht="15.75">
      <c r="A21" s="573">
        <v>7</v>
      </c>
      <c r="B21" s="11" t="s">
        <v>30</v>
      </c>
      <c r="C21" s="571">
        <f t="shared" si="4"/>
        <v>3510</v>
      </c>
      <c r="D21" s="9">
        <f>+PL06!K13</f>
        <v>3510</v>
      </c>
      <c r="E21" s="585">
        <f>'[1]PL06'!K34</f>
        <v>0</v>
      </c>
      <c r="F21" s="9">
        <f t="shared" si="1"/>
        <v>0</v>
      </c>
      <c r="G21" s="574"/>
      <c r="H21" s="574"/>
      <c r="I21" s="574"/>
      <c r="J21" s="9"/>
      <c r="K21" s="575">
        <f t="shared" si="5"/>
        <v>0</v>
      </c>
      <c r="L21" s="576"/>
      <c r="M21" s="573"/>
      <c r="N21" s="580"/>
      <c r="O21" s="9"/>
      <c r="P21" s="9">
        <f t="shared" si="2"/>
        <v>0</v>
      </c>
      <c r="Q21" s="576"/>
      <c r="R21" s="576"/>
      <c r="S21" s="9">
        <f t="shared" si="6"/>
        <v>0</v>
      </c>
      <c r="T21" s="9"/>
      <c r="U21" s="9"/>
      <c r="V21" s="9">
        <f t="shared" si="11"/>
        <v>0</v>
      </c>
      <c r="W21" s="9"/>
      <c r="X21" s="9"/>
      <c r="Y21" s="578">
        <f t="shared" si="7"/>
        <v>0</v>
      </c>
      <c r="Z21" s="577"/>
      <c r="AA21" s="577"/>
      <c r="AB21" s="579">
        <f t="shared" si="8"/>
        <v>8328</v>
      </c>
      <c r="AC21" s="580">
        <f t="shared" si="9"/>
        <v>1075</v>
      </c>
      <c r="AD21" s="580">
        <f>+PL06!K38</f>
        <v>1075</v>
      </c>
      <c r="AE21" s="580"/>
      <c r="AF21" s="585">
        <f>E21</f>
        <v>0</v>
      </c>
      <c r="AG21" s="585">
        <f>+PL06!K39</f>
        <v>7253</v>
      </c>
      <c r="AH21" s="581">
        <f t="shared" si="3"/>
        <v>8328</v>
      </c>
      <c r="AI21" s="582">
        <f t="shared" si="10"/>
        <v>8328</v>
      </c>
      <c r="AJ21" s="580">
        <f>AF21</f>
        <v>0</v>
      </c>
    </row>
    <row r="22" spans="1:36" ht="15.75">
      <c r="A22" s="573">
        <v>8</v>
      </c>
      <c r="B22" s="11" t="s">
        <v>31</v>
      </c>
      <c r="C22" s="571">
        <f t="shared" si="4"/>
        <v>1083</v>
      </c>
      <c r="D22" s="9">
        <f>+PL06!L13</f>
        <v>1083</v>
      </c>
      <c r="E22" s="585">
        <f>'[1]PL06'!L34</f>
        <v>0</v>
      </c>
      <c r="F22" s="9">
        <f t="shared" si="1"/>
        <v>0</v>
      </c>
      <c r="G22" s="574"/>
      <c r="H22" s="574"/>
      <c r="I22" s="574"/>
      <c r="J22" s="9"/>
      <c r="K22" s="575">
        <f t="shared" si="5"/>
        <v>0</v>
      </c>
      <c r="L22" s="576"/>
      <c r="M22" s="573"/>
      <c r="N22" s="580"/>
      <c r="O22" s="9"/>
      <c r="P22" s="9">
        <f t="shared" si="2"/>
        <v>0</v>
      </c>
      <c r="Q22" s="576"/>
      <c r="R22" s="576"/>
      <c r="S22" s="9">
        <f t="shared" si="6"/>
        <v>0</v>
      </c>
      <c r="T22" s="9"/>
      <c r="U22" s="9"/>
      <c r="V22" s="9">
        <f t="shared" si="11"/>
        <v>0</v>
      </c>
      <c r="W22" s="9"/>
      <c r="X22" s="9"/>
      <c r="Y22" s="578">
        <f t="shared" si="7"/>
        <v>0</v>
      </c>
      <c r="Z22" s="577"/>
      <c r="AA22" s="577"/>
      <c r="AB22" s="579">
        <f t="shared" si="8"/>
        <v>7111</v>
      </c>
      <c r="AC22" s="580">
        <f t="shared" si="9"/>
        <v>283</v>
      </c>
      <c r="AD22" s="580">
        <f>+PL06!L38</f>
        <v>283</v>
      </c>
      <c r="AE22" s="580"/>
      <c r="AF22" s="585">
        <f aca="true" t="shared" si="12" ref="AF22:AF29">E22</f>
        <v>0</v>
      </c>
      <c r="AG22" s="585">
        <f>+PL06!L39</f>
        <v>6828</v>
      </c>
      <c r="AH22" s="581">
        <f t="shared" si="3"/>
        <v>7111</v>
      </c>
      <c r="AI22" s="582">
        <f t="shared" si="10"/>
        <v>7111</v>
      </c>
      <c r="AJ22" s="580">
        <f aca="true" t="shared" si="13" ref="AJ22:AJ29">AF22</f>
        <v>0</v>
      </c>
    </row>
    <row r="23" spans="1:36" ht="15.75">
      <c r="A23" s="573">
        <v>9</v>
      </c>
      <c r="B23" s="11" t="s">
        <v>32</v>
      </c>
      <c r="C23" s="571">
        <f t="shared" si="4"/>
        <v>3844</v>
      </c>
      <c r="D23" s="9">
        <f>+PL06!M13</f>
        <v>3844</v>
      </c>
      <c r="E23" s="585">
        <f>'[1]PL06'!M34</f>
        <v>0</v>
      </c>
      <c r="F23" s="9">
        <f t="shared" si="1"/>
        <v>0</v>
      </c>
      <c r="G23" s="574"/>
      <c r="H23" s="574"/>
      <c r="I23" s="574"/>
      <c r="J23" s="9"/>
      <c r="K23" s="575">
        <f t="shared" si="5"/>
        <v>0</v>
      </c>
      <c r="L23" s="576"/>
      <c r="M23" s="573"/>
      <c r="N23" s="580"/>
      <c r="O23" s="9"/>
      <c r="P23" s="9">
        <f t="shared" si="2"/>
        <v>0</v>
      </c>
      <c r="Q23" s="576"/>
      <c r="R23" s="576"/>
      <c r="S23" s="9">
        <f t="shared" si="6"/>
        <v>0</v>
      </c>
      <c r="T23" s="9"/>
      <c r="U23" s="9"/>
      <c r="V23" s="9">
        <f t="shared" si="11"/>
        <v>0</v>
      </c>
      <c r="W23" s="9"/>
      <c r="X23" s="9"/>
      <c r="Y23" s="578">
        <f t="shared" si="7"/>
        <v>0</v>
      </c>
      <c r="Z23" s="577"/>
      <c r="AA23" s="577"/>
      <c r="AB23" s="579">
        <f t="shared" si="8"/>
        <v>7831</v>
      </c>
      <c r="AC23" s="580">
        <f t="shared" si="9"/>
        <v>734</v>
      </c>
      <c r="AD23" s="580">
        <f>+PL06!M38</f>
        <v>734</v>
      </c>
      <c r="AE23" s="580"/>
      <c r="AF23" s="585">
        <f t="shared" si="12"/>
        <v>0</v>
      </c>
      <c r="AG23" s="585">
        <f>+PL06!M39</f>
        <v>7097</v>
      </c>
      <c r="AH23" s="581">
        <f t="shared" si="3"/>
        <v>7831</v>
      </c>
      <c r="AI23" s="582">
        <f t="shared" si="10"/>
        <v>7831</v>
      </c>
      <c r="AJ23" s="580">
        <f t="shared" si="13"/>
        <v>0</v>
      </c>
    </row>
    <row r="24" spans="1:36" ht="15.75">
      <c r="A24" s="573">
        <v>10</v>
      </c>
      <c r="B24" s="11" t="s">
        <v>33</v>
      </c>
      <c r="C24" s="571">
        <f t="shared" si="4"/>
        <v>1778</v>
      </c>
      <c r="D24" s="9">
        <f>+PL06!N13</f>
        <v>1778</v>
      </c>
      <c r="E24" s="585">
        <f>'[1]PL06'!N34</f>
        <v>0</v>
      </c>
      <c r="F24" s="9">
        <f t="shared" si="1"/>
        <v>0</v>
      </c>
      <c r="G24" s="574"/>
      <c r="H24" s="574"/>
      <c r="I24" s="574"/>
      <c r="J24" s="9"/>
      <c r="K24" s="575">
        <f t="shared" si="5"/>
        <v>0</v>
      </c>
      <c r="L24" s="576"/>
      <c r="M24" s="573"/>
      <c r="N24" s="580"/>
      <c r="O24" s="9"/>
      <c r="P24" s="9">
        <f t="shared" si="2"/>
        <v>0</v>
      </c>
      <c r="Q24" s="576"/>
      <c r="R24" s="576"/>
      <c r="S24" s="9">
        <f t="shared" si="6"/>
        <v>0</v>
      </c>
      <c r="T24" s="9"/>
      <c r="U24" s="9"/>
      <c r="V24" s="9">
        <f t="shared" si="11"/>
        <v>0</v>
      </c>
      <c r="W24" s="9"/>
      <c r="X24" s="9"/>
      <c r="Y24" s="578">
        <f t="shared" si="7"/>
        <v>0</v>
      </c>
      <c r="Z24" s="577"/>
      <c r="AA24" s="577"/>
      <c r="AB24" s="579">
        <f t="shared" si="8"/>
        <v>7657</v>
      </c>
      <c r="AC24" s="580">
        <f t="shared" si="9"/>
        <v>598</v>
      </c>
      <c r="AD24" s="580">
        <f>+PL06!N38</f>
        <v>598</v>
      </c>
      <c r="AE24" s="580"/>
      <c r="AF24" s="585">
        <f t="shared" si="12"/>
        <v>0</v>
      </c>
      <c r="AG24" s="585">
        <f>+PL06!N39</f>
        <v>7059</v>
      </c>
      <c r="AH24" s="581">
        <f t="shared" si="3"/>
        <v>7657</v>
      </c>
      <c r="AI24" s="582">
        <f t="shared" si="10"/>
        <v>7657</v>
      </c>
      <c r="AJ24" s="580">
        <f t="shared" si="13"/>
        <v>0</v>
      </c>
    </row>
    <row r="25" spans="1:36" ht="15.75">
      <c r="A25" s="573">
        <v>11</v>
      </c>
      <c r="B25" s="11" t="s">
        <v>34</v>
      </c>
      <c r="C25" s="571">
        <f t="shared" si="4"/>
        <v>2592</v>
      </c>
      <c r="D25" s="9">
        <f>+PL06!O13</f>
        <v>2592</v>
      </c>
      <c r="E25" s="585">
        <f>'[1]PL06'!O34</f>
        <v>0</v>
      </c>
      <c r="F25" s="9">
        <f t="shared" si="1"/>
        <v>0</v>
      </c>
      <c r="G25" s="574"/>
      <c r="H25" s="574"/>
      <c r="I25" s="574"/>
      <c r="J25" s="9"/>
      <c r="K25" s="575">
        <f t="shared" si="5"/>
        <v>0</v>
      </c>
      <c r="L25" s="576"/>
      <c r="M25" s="573"/>
      <c r="N25" s="580"/>
      <c r="O25" s="9"/>
      <c r="P25" s="9">
        <f t="shared" si="2"/>
        <v>0</v>
      </c>
      <c r="Q25" s="576"/>
      <c r="R25" s="576"/>
      <c r="S25" s="9">
        <f t="shared" si="6"/>
        <v>0</v>
      </c>
      <c r="T25" s="9"/>
      <c r="U25" s="9"/>
      <c r="V25" s="9">
        <f t="shared" si="11"/>
        <v>0</v>
      </c>
      <c r="W25" s="9"/>
      <c r="X25" s="9"/>
      <c r="Y25" s="578">
        <f t="shared" si="7"/>
        <v>0</v>
      </c>
      <c r="Z25" s="577"/>
      <c r="AA25" s="577"/>
      <c r="AB25" s="579">
        <f t="shared" si="8"/>
        <v>7367</v>
      </c>
      <c r="AC25" s="580">
        <f t="shared" si="9"/>
        <v>622</v>
      </c>
      <c r="AD25" s="580">
        <f>+PL06!O38</f>
        <v>622</v>
      </c>
      <c r="AE25" s="580"/>
      <c r="AF25" s="585">
        <f t="shared" si="12"/>
        <v>0</v>
      </c>
      <c r="AG25" s="585">
        <f>+PL06!O39</f>
        <v>6745</v>
      </c>
      <c r="AH25" s="581">
        <f t="shared" si="3"/>
        <v>7367</v>
      </c>
      <c r="AI25" s="582">
        <f t="shared" si="10"/>
        <v>7367</v>
      </c>
      <c r="AJ25" s="580">
        <f t="shared" si="13"/>
        <v>0</v>
      </c>
    </row>
    <row r="26" spans="1:36" ht="15.75">
      <c r="A26" s="573">
        <v>12</v>
      </c>
      <c r="B26" s="11" t="s">
        <v>204</v>
      </c>
      <c r="C26" s="571">
        <f t="shared" si="4"/>
        <v>3869</v>
      </c>
      <c r="D26" s="9">
        <f>+PL06!P13</f>
        <v>1717</v>
      </c>
      <c r="E26" s="585">
        <f>PL07!Q21</f>
        <v>2152</v>
      </c>
      <c r="F26" s="9">
        <f t="shared" si="1"/>
        <v>0</v>
      </c>
      <c r="G26" s="574"/>
      <c r="H26" s="574"/>
      <c r="I26" s="574"/>
      <c r="J26" s="9"/>
      <c r="K26" s="575">
        <f t="shared" si="5"/>
        <v>0</v>
      </c>
      <c r="L26" s="576"/>
      <c r="M26" s="573"/>
      <c r="N26" s="580"/>
      <c r="O26" s="9"/>
      <c r="P26" s="9">
        <f t="shared" si="2"/>
        <v>0</v>
      </c>
      <c r="Q26" s="576"/>
      <c r="R26" s="576"/>
      <c r="S26" s="9">
        <f t="shared" si="6"/>
        <v>0</v>
      </c>
      <c r="T26" s="9"/>
      <c r="U26" s="9"/>
      <c r="V26" s="9">
        <f t="shared" si="11"/>
        <v>0</v>
      </c>
      <c r="W26" s="9"/>
      <c r="X26" s="9"/>
      <c r="Y26" s="578">
        <f t="shared" si="7"/>
        <v>0</v>
      </c>
      <c r="Z26" s="577"/>
      <c r="AA26" s="577"/>
      <c r="AB26" s="579">
        <f t="shared" si="8"/>
        <v>10436</v>
      </c>
      <c r="AC26" s="580">
        <f t="shared" si="9"/>
        <v>697</v>
      </c>
      <c r="AD26" s="580">
        <f>+PL06!P38</f>
        <v>697</v>
      </c>
      <c r="AE26" s="580"/>
      <c r="AF26" s="585">
        <f t="shared" si="12"/>
        <v>2152</v>
      </c>
      <c r="AG26" s="585">
        <f>+PL06!P39</f>
        <v>7587</v>
      </c>
      <c r="AH26" s="581">
        <f t="shared" si="3"/>
        <v>10436</v>
      </c>
      <c r="AI26" s="582">
        <f>AB26-AF26</f>
        <v>8284</v>
      </c>
      <c r="AJ26" s="580">
        <f t="shared" si="13"/>
        <v>2152</v>
      </c>
    </row>
    <row r="27" spans="1:36" ht="15.75">
      <c r="A27" s="573">
        <v>13</v>
      </c>
      <c r="B27" s="11" t="s">
        <v>205</v>
      </c>
      <c r="C27" s="571">
        <f t="shared" si="4"/>
        <v>1910</v>
      </c>
      <c r="D27" s="9">
        <f>+PL06!Q13</f>
        <v>1290</v>
      </c>
      <c r="E27" s="585">
        <f>PL07!R21</f>
        <v>620</v>
      </c>
      <c r="F27" s="9">
        <f t="shared" si="1"/>
        <v>0</v>
      </c>
      <c r="G27" s="574"/>
      <c r="H27" s="574"/>
      <c r="I27" s="574"/>
      <c r="J27" s="9"/>
      <c r="K27" s="575">
        <f t="shared" si="5"/>
        <v>0</v>
      </c>
      <c r="L27" s="576"/>
      <c r="M27" s="573"/>
      <c r="N27" s="580"/>
      <c r="O27" s="9"/>
      <c r="P27" s="9">
        <f t="shared" si="2"/>
        <v>0</v>
      </c>
      <c r="Q27" s="576"/>
      <c r="R27" s="576"/>
      <c r="S27" s="9">
        <f t="shared" si="6"/>
        <v>0</v>
      </c>
      <c r="T27" s="9"/>
      <c r="U27" s="9"/>
      <c r="V27" s="9">
        <f t="shared" si="11"/>
        <v>0</v>
      </c>
      <c r="W27" s="9"/>
      <c r="X27" s="9"/>
      <c r="Y27" s="578">
        <f t="shared" si="7"/>
        <v>0</v>
      </c>
      <c r="Z27" s="577"/>
      <c r="AA27" s="577"/>
      <c r="AB27" s="579">
        <f t="shared" si="8"/>
        <v>7714</v>
      </c>
      <c r="AC27" s="580">
        <f t="shared" si="9"/>
        <v>405</v>
      </c>
      <c r="AD27" s="580">
        <f>+PL06!Q38</f>
        <v>405</v>
      </c>
      <c r="AE27" s="580"/>
      <c r="AF27" s="585">
        <f t="shared" si="12"/>
        <v>620</v>
      </c>
      <c r="AG27" s="585">
        <f>+PL06!Q39</f>
        <v>6689</v>
      </c>
      <c r="AH27" s="581">
        <f t="shared" si="3"/>
        <v>7714</v>
      </c>
      <c r="AI27" s="582">
        <f>AB27-AF27</f>
        <v>7094</v>
      </c>
      <c r="AJ27" s="580">
        <f t="shared" si="13"/>
        <v>620</v>
      </c>
    </row>
    <row r="28" spans="1:36" ht="15.75">
      <c r="A28" s="573">
        <v>14</v>
      </c>
      <c r="B28" s="11" t="s">
        <v>206</v>
      </c>
      <c r="C28" s="571">
        <f t="shared" si="4"/>
        <v>3356</v>
      </c>
      <c r="D28" s="9">
        <f>+PL06!R13</f>
        <v>1925</v>
      </c>
      <c r="E28" s="585">
        <f>PL07!S21</f>
        <v>1431</v>
      </c>
      <c r="F28" s="9">
        <f t="shared" si="1"/>
        <v>0</v>
      </c>
      <c r="G28" s="574"/>
      <c r="H28" s="574"/>
      <c r="I28" s="574"/>
      <c r="J28" s="9"/>
      <c r="K28" s="575">
        <f t="shared" si="5"/>
        <v>0</v>
      </c>
      <c r="L28" s="576"/>
      <c r="M28" s="573"/>
      <c r="N28" s="580"/>
      <c r="O28" s="9"/>
      <c r="P28" s="9">
        <f t="shared" si="2"/>
        <v>0</v>
      </c>
      <c r="Q28" s="576"/>
      <c r="R28" s="576"/>
      <c r="S28" s="9">
        <f t="shared" si="6"/>
        <v>0</v>
      </c>
      <c r="T28" s="9"/>
      <c r="U28" s="9"/>
      <c r="V28" s="9">
        <f t="shared" si="11"/>
        <v>0</v>
      </c>
      <c r="W28" s="9"/>
      <c r="X28" s="9"/>
      <c r="Y28" s="578">
        <f t="shared" si="7"/>
        <v>0</v>
      </c>
      <c r="Z28" s="577"/>
      <c r="AA28" s="577"/>
      <c r="AB28" s="579">
        <f t="shared" si="8"/>
        <v>9470</v>
      </c>
      <c r="AC28" s="580">
        <f t="shared" si="9"/>
        <v>725</v>
      </c>
      <c r="AD28" s="580">
        <f>+PL06!R38</f>
        <v>725</v>
      </c>
      <c r="AE28" s="580"/>
      <c r="AF28" s="585">
        <f t="shared" si="12"/>
        <v>1431</v>
      </c>
      <c r="AG28" s="585">
        <f>+PL06!R39</f>
        <v>7314</v>
      </c>
      <c r="AH28" s="581">
        <f t="shared" si="3"/>
        <v>9470</v>
      </c>
      <c r="AI28" s="582">
        <f>AB28-AF28</f>
        <v>8039</v>
      </c>
      <c r="AJ28" s="580">
        <f t="shared" si="13"/>
        <v>1431</v>
      </c>
    </row>
    <row r="29" spans="1:36" ht="15.75">
      <c r="A29" s="573">
        <v>15</v>
      </c>
      <c r="B29" s="11" t="s">
        <v>207</v>
      </c>
      <c r="C29" s="571">
        <f t="shared" si="4"/>
        <v>6229</v>
      </c>
      <c r="D29" s="9">
        <f>+PL06!S13</f>
        <v>2113</v>
      </c>
      <c r="E29" s="585">
        <f>PL07!T21</f>
        <v>4116</v>
      </c>
      <c r="F29" s="9">
        <f t="shared" si="1"/>
        <v>0</v>
      </c>
      <c r="G29" s="574"/>
      <c r="H29" s="574"/>
      <c r="I29" s="574"/>
      <c r="J29" s="9"/>
      <c r="K29" s="575">
        <f t="shared" si="5"/>
        <v>0</v>
      </c>
      <c r="L29" s="576"/>
      <c r="M29" s="573"/>
      <c r="N29" s="580"/>
      <c r="O29" s="9"/>
      <c r="P29" s="9">
        <f t="shared" si="2"/>
        <v>0</v>
      </c>
      <c r="Q29" s="576"/>
      <c r="R29" s="576"/>
      <c r="S29" s="9">
        <f t="shared" si="6"/>
        <v>0</v>
      </c>
      <c r="T29" s="9"/>
      <c r="U29" s="9"/>
      <c r="V29" s="9">
        <f t="shared" si="11"/>
        <v>0</v>
      </c>
      <c r="W29" s="9"/>
      <c r="X29" s="9"/>
      <c r="Y29" s="578">
        <f t="shared" si="7"/>
        <v>0</v>
      </c>
      <c r="Z29" s="577"/>
      <c r="AA29" s="577"/>
      <c r="AB29" s="579">
        <f>SUM(AD29:AG29)</f>
        <v>12108</v>
      </c>
      <c r="AC29" s="580">
        <f t="shared" si="9"/>
        <v>943</v>
      </c>
      <c r="AD29" s="580">
        <f>+PL06!S38</f>
        <v>943</v>
      </c>
      <c r="AE29" s="580"/>
      <c r="AF29" s="585">
        <f t="shared" si="12"/>
        <v>4116</v>
      </c>
      <c r="AG29" s="585">
        <f>+PL06!S39</f>
        <v>7049</v>
      </c>
      <c r="AH29" s="581">
        <f t="shared" si="3"/>
        <v>12108</v>
      </c>
      <c r="AI29" s="582">
        <f>AB29-AF29</f>
        <v>7992</v>
      </c>
      <c r="AJ29" s="580">
        <f t="shared" si="13"/>
        <v>4116</v>
      </c>
    </row>
    <row r="30" spans="1:28" ht="18.75">
      <c r="A30" s="586"/>
      <c r="B30" s="587"/>
      <c r="C30" s="586"/>
      <c r="D30" s="586"/>
      <c r="E30" s="586"/>
      <c r="F30" s="586"/>
      <c r="G30" s="586"/>
      <c r="H30" s="586"/>
      <c r="I30" s="129"/>
      <c r="J30" s="586"/>
      <c r="K30" s="586"/>
      <c r="L30" s="586"/>
      <c r="M30" s="588"/>
      <c r="N30" s="588"/>
      <c r="O30" s="588"/>
      <c r="P30" s="588"/>
      <c r="Q30" s="588"/>
      <c r="R30" s="588"/>
      <c r="S30" s="588"/>
      <c r="T30" s="588"/>
      <c r="U30" s="588"/>
      <c r="V30" s="588"/>
      <c r="W30" s="588"/>
      <c r="X30" s="588"/>
      <c r="Y30" s="589"/>
      <c r="Z30" s="589"/>
      <c r="AA30" s="589"/>
      <c r="AB30" s="589"/>
    </row>
    <row r="31" spans="1:28" ht="18.75">
      <c r="A31" s="586"/>
      <c r="B31" s="586"/>
      <c r="C31" s="586"/>
      <c r="D31" s="586"/>
      <c r="E31" s="586"/>
      <c r="F31" s="586"/>
      <c r="G31" s="586"/>
      <c r="H31" s="586"/>
      <c r="I31" s="129"/>
      <c r="J31" s="586"/>
      <c r="K31" s="586"/>
      <c r="L31" s="586"/>
      <c r="M31" s="551"/>
      <c r="N31" s="551"/>
      <c r="O31" s="551"/>
      <c r="P31" s="551"/>
      <c r="Q31" s="551"/>
      <c r="R31" s="551"/>
      <c r="S31" s="551"/>
      <c r="T31" s="551"/>
      <c r="U31" s="551"/>
      <c r="V31" s="551"/>
      <c r="W31" s="551"/>
      <c r="X31" s="551"/>
      <c r="Y31" s="590"/>
      <c r="Z31" s="590"/>
      <c r="AA31" s="590"/>
      <c r="AB31" s="590"/>
    </row>
    <row r="32" spans="1:28" ht="18.75">
      <c r="A32" s="586"/>
      <c r="B32" s="586"/>
      <c r="C32" s="586"/>
      <c r="D32" s="586"/>
      <c r="E32" s="586"/>
      <c r="F32" s="586"/>
      <c r="G32" s="586"/>
      <c r="H32" s="586"/>
      <c r="I32" s="129"/>
      <c r="J32" s="586"/>
      <c r="K32" s="586"/>
      <c r="L32" s="586"/>
      <c r="M32" s="551"/>
      <c r="N32" s="551"/>
      <c r="O32" s="551"/>
      <c r="P32" s="551"/>
      <c r="Q32" s="551"/>
      <c r="R32" s="551"/>
      <c r="S32" s="551"/>
      <c r="T32" s="551"/>
      <c r="U32" s="551"/>
      <c r="V32" s="551"/>
      <c r="W32" s="551"/>
      <c r="X32" s="551"/>
      <c r="Y32" s="590"/>
      <c r="Z32" s="590"/>
      <c r="AA32" s="590"/>
      <c r="AB32" s="590"/>
    </row>
    <row r="33" spans="1:28" ht="18.75">
      <c r="A33" s="586"/>
      <c r="B33" s="586"/>
      <c r="C33" s="586"/>
      <c r="D33" s="586"/>
      <c r="E33" s="586"/>
      <c r="F33" s="586"/>
      <c r="G33" s="586"/>
      <c r="H33" s="586"/>
      <c r="I33" s="129"/>
      <c r="J33" s="586"/>
      <c r="K33" s="586"/>
      <c r="L33" s="586"/>
      <c r="M33" s="551"/>
      <c r="N33" s="551"/>
      <c r="O33" s="551"/>
      <c r="P33" s="551"/>
      <c r="Q33" s="591"/>
      <c r="R33" s="551"/>
      <c r="S33" s="551"/>
      <c r="T33" s="551"/>
      <c r="U33" s="551"/>
      <c r="V33" s="551"/>
      <c r="W33" s="551"/>
      <c r="X33" s="551"/>
      <c r="Y33" s="590"/>
      <c r="Z33" s="590"/>
      <c r="AA33" s="590"/>
      <c r="AB33" s="590"/>
    </row>
  </sheetData>
  <sheetProtection/>
  <mergeCells count="58">
    <mergeCell ref="AI7:AJ7"/>
    <mergeCell ref="A6:AJ6"/>
    <mergeCell ref="V10:V12"/>
    <mergeCell ref="AI10:AI12"/>
    <mergeCell ref="AJ10:AJ12"/>
    <mergeCell ref="N8:N12"/>
    <mergeCell ref="O8:O12"/>
    <mergeCell ref="P8:R8"/>
    <mergeCell ref="S9:S12"/>
    <mergeCell ref="T9:U10"/>
    <mergeCell ref="L10:L12"/>
    <mergeCell ref="A5:AJ5"/>
    <mergeCell ref="L7:M7"/>
    <mergeCell ref="A8:A12"/>
    <mergeCell ref="B8:B12"/>
    <mergeCell ref="C8:E8"/>
    <mergeCell ref="F8:J8"/>
    <mergeCell ref="N7:O7"/>
    <mergeCell ref="V7:Y7"/>
    <mergeCell ref="Y8:AA9"/>
    <mergeCell ref="K8:M8"/>
    <mergeCell ref="A4:AJ4"/>
    <mergeCell ref="AG10:AG12"/>
    <mergeCell ref="AE11:AE12"/>
    <mergeCell ref="W10:W12"/>
    <mergeCell ref="X10:X12"/>
    <mergeCell ref="Y10:Y12"/>
    <mergeCell ref="Z10:Z12"/>
    <mergeCell ref="L9:M9"/>
    <mergeCell ref="S8:U8"/>
    <mergeCell ref="V8:X9"/>
    <mergeCell ref="Q11:Q12"/>
    <mergeCell ref="R11:R12"/>
    <mergeCell ref="C9:C12"/>
    <mergeCell ref="D9:D12"/>
    <mergeCell ref="E9:E12"/>
    <mergeCell ref="F9:F12"/>
    <mergeCell ref="G9:J9"/>
    <mergeCell ref="K9:K12"/>
    <mergeCell ref="P9:P12"/>
    <mergeCell ref="AA10:AA12"/>
    <mergeCell ref="AC10:AE10"/>
    <mergeCell ref="Q9:R10"/>
    <mergeCell ref="G10:G12"/>
    <mergeCell ref="M10:M12"/>
    <mergeCell ref="T11:T12"/>
    <mergeCell ref="U11:U12"/>
    <mergeCell ref="H10:H12"/>
    <mergeCell ref="I10:I12"/>
    <mergeCell ref="J10:J12"/>
    <mergeCell ref="AB8:AJ8"/>
    <mergeCell ref="AI9:AJ9"/>
    <mergeCell ref="AC11:AC12"/>
    <mergeCell ref="AD11:AD12"/>
    <mergeCell ref="AF10:AF12"/>
    <mergeCell ref="AH9:AH12"/>
    <mergeCell ref="AB9:AB12"/>
    <mergeCell ref="AC9:AG9"/>
  </mergeCells>
  <printOptions/>
  <pageMargins left="0.65" right="0.3" top="0.53" bottom="0.51" header="0.5" footer="0.31"/>
  <pageSetup horizontalDpi="600" verticalDpi="600" orientation="landscape" paperSize="9" scale="85" r:id="rId2"/>
  <drawing r:id="rId1"/>
</worksheet>
</file>

<file path=xl/worksheets/sheet11.xml><?xml version="1.0" encoding="utf-8"?>
<worksheet xmlns="http://schemas.openxmlformats.org/spreadsheetml/2006/main" xmlns:r="http://schemas.openxmlformats.org/officeDocument/2006/relationships">
  <sheetPr>
    <tabColor rgb="FF0070C0"/>
  </sheetPr>
  <dimension ref="A1:G42"/>
  <sheetViews>
    <sheetView zoomScale="110" zoomScaleNormal="110" zoomScalePageLayoutView="0" workbookViewId="0" topLeftCell="A3">
      <selection activeCell="A9" sqref="A9:F9"/>
    </sheetView>
  </sheetViews>
  <sheetFormatPr defaultColWidth="11.140625" defaultRowHeight="12.75"/>
  <cols>
    <col min="1" max="1" width="4.28125" style="204" customWidth="1"/>
    <col min="2" max="2" width="37.28125" style="204" customWidth="1"/>
    <col min="3" max="3" width="51.421875" style="201" hidden="1" customWidth="1"/>
    <col min="4" max="4" width="23.7109375" style="202" hidden="1" customWidth="1"/>
    <col min="5" max="5" width="53.28125" style="201" customWidth="1"/>
    <col min="6" max="6" width="19.7109375" style="203" customWidth="1"/>
    <col min="7" max="16384" width="11.140625" style="204" customWidth="1"/>
  </cols>
  <sheetData>
    <row r="1" spans="1:2" ht="18.75" hidden="1">
      <c r="A1" s="200" t="s">
        <v>273</v>
      </c>
      <c r="B1" s="200"/>
    </row>
    <row r="2" spans="1:2" ht="18.75" hidden="1">
      <c r="A2" s="200" t="s">
        <v>409</v>
      </c>
      <c r="B2" s="200"/>
    </row>
    <row r="3" spans="1:6" ht="18.75">
      <c r="A3" s="45" t="s">
        <v>65</v>
      </c>
      <c r="B3" s="45"/>
      <c r="F3" s="28"/>
    </row>
    <row r="4" spans="1:2" ht="18.75">
      <c r="A4" s="45" t="s">
        <v>64</v>
      </c>
      <c r="B4" s="45"/>
    </row>
    <row r="6" spans="1:6" ht="21.75" customHeight="1">
      <c r="A6" s="1038" t="s">
        <v>482</v>
      </c>
      <c r="B6" s="1038"/>
      <c r="C6" s="1038"/>
      <c r="D6" s="1038"/>
      <c r="E6" s="1038"/>
      <c r="F6" s="1038"/>
    </row>
    <row r="7" spans="1:6" ht="23.25" customHeight="1">
      <c r="A7" s="1038" t="s">
        <v>878</v>
      </c>
      <c r="B7" s="1038"/>
      <c r="C7" s="1038"/>
      <c r="D7" s="1038"/>
      <c r="E7" s="1038"/>
      <c r="F7" s="1038"/>
    </row>
    <row r="8" spans="1:6" ht="18.75" hidden="1">
      <c r="A8" s="1039" t="s">
        <v>274</v>
      </c>
      <c r="B8" s="1039"/>
      <c r="C8" s="1039"/>
      <c r="D8" s="1039"/>
      <c r="E8" s="1039"/>
      <c r="F8" s="1039"/>
    </row>
    <row r="9" spans="1:6" s="206" customFormat="1" ht="18.75">
      <c r="A9" s="1037" t="s">
        <v>888</v>
      </c>
      <c r="B9" s="1037"/>
      <c r="C9" s="1037"/>
      <c r="D9" s="1037"/>
      <c r="E9" s="1037"/>
      <c r="F9" s="1037"/>
    </row>
    <row r="10" spans="2:6" ht="18.75">
      <c r="B10" s="207"/>
      <c r="C10" s="207"/>
      <c r="D10" s="208"/>
      <c r="E10" s="209"/>
      <c r="F10" s="210" t="s">
        <v>593</v>
      </c>
    </row>
    <row r="11" spans="1:6" s="205" customFormat="1" ht="21.75" customHeight="1">
      <c r="A11" s="211" t="s">
        <v>293</v>
      </c>
      <c r="B11" s="211" t="s">
        <v>259</v>
      </c>
      <c r="C11" s="212" t="s">
        <v>521</v>
      </c>
      <c r="D11" s="213" t="s">
        <v>260</v>
      </c>
      <c r="E11" s="212" t="s">
        <v>481</v>
      </c>
      <c r="F11" s="51" t="s">
        <v>260</v>
      </c>
    </row>
    <row r="12" spans="1:6" s="205" customFormat="1" ht="21.75" customHeight="1">
      <c r="A12" s="211"/>
      <c r="B12" s="211"/>
      <c r="C12" s="212" t="s">
        <v>327</v>
      </c>
      <c r="D12" s="214">
        <v>2152</v>
      </c>
      <c r="E12" s="212" t="s">
        <v>677</v>
      </c>
      <c r="F12" s="215">
        <f>F13+F41</f>
        <v>2191.2</v>
      </c>
    </row>
    <row r="13" spans="1:6" s="205" customFormat="1" ht="21.75" customHeight="1">
      <c r="A13" s="211" t="s">
        <v>295</v>
      </c>
      <c r="B13" s="216" t="s">
        <v>695</v>
      </c>
      <c r="C13" s="212"/>
      <c r="D13" s="214"/>
      <c r="E13" s="212"/>
      <c r="F13" s="215">
        <f>F14+F28+F31+F34+F39</f>
        <v>2075.2</v>
      </c>
    </row>
    <row r="14" spans="1:7" s="221" customFormat="1" ht="24" customHeight="1">
      <c r="A14" s="211">
        <v>1</v>
      </c>
      <c r="B14" s="217" t="s">
        <v>583</v>
      </c>
      <c r="C14" s="218" t="s">
        <v>522</v>
      </c>
      <c r="D14" s="214">
        <v>895</v>
      </c>
      <c r="E14" s="219"/>
      <c r="F14" s="220">
        <f>SUM(F15:F27)</f>
        <v>1670.2</v>
      </c>
      <c r="G14" s="894" t="s">
        <v>523</v>
      </c>
    </row>
    <row r="15" spans="1:6" s="221" customFormat="1" ht="42" customHeight="1">
      <c r="A15" s="211"/>
      <c r="B15" s="217"/>
      <c r="C15" s="222" t="s">
        <v>275</v>
      </c>
      <c r="D15" s="214">
        <v>129</v>
      </c>
      <c r="E15" s="18" t="s">
        <v>275</v>
      </c>
      <c r="F15" s="223">
        <f>3*1*12</f>
        <v>36</v>
      </c>
    </row>
    <row r="16" spans="1:6" ht="48" customHeight="1">
      <c r="A16" s="224"/>
      <c r="B16" s="225"/>
      <c r="C16" s="222" t="s">
        <v>45</v>
      </c>
      <c r="D16" s="226">
        <v>36</v>
      </c>
      <c r="E16" s="18" t="s">
        <v>781</v>
      </c>
      <c r="F16" s="223">
        <v>226</v>
      </c>
    </row>
    <row r="17" spans="1:6" ht="41.25" customHeight="1">
      <c r="A17" s="224"/>
      <c r="B17" s="225"/>
      <c r="C17" s="222" t="s">
        <v>46</v>
      </c>
      <c r="D17" s="226">
        <v>324</v>
      </c>
      <c r="E17" s="18" t="s">
        <v>782</v>
      </c>
      <c r="F17" s="223">
        <v>612</v>
      </c>
    </row>
    <row r="18" spans="1:6" ht="42.75" customHeight="1">
      <c r="A18" s="224"/>
      <c r="B18" s="225"/>
      <c r="C18" s="222" t="s">
        <v>47</v>
      </c>
      <c r="D18" s="226">
        <v>3</v>
      </c>
      <c r="E18" s="18" t="s">
        <v>784</v>
      </c>
      <c r="F18" s="223">
        <v>3.6</v>
      </c>
    </row>
    <row r="19" spans="1:6" ht="43.5" customHeight="1">
      <c r="A19" s="224"/>
      <c r="B19" s="225"/>
      <c r="C19" s="222" t="s">
        <v>48</v>
      </c>
      <c r="D19" s="226">
        <v>2</v>
      </c>
      <c r="E19" s="18" t="s">
        <v>783</v>
      </c>
      <c r="F19" s="223">
        <v>2</v>
      </c>
    </row>
    <row r="20" spans="1:6" ht="61.5" customHeight="1">
      <c r="A20" s="224"/>
      <c r="B20" s="225"/>
      <c r="C20" s="222" t="s">
        <v>276</v>
      </c>
      <c r="D20" s="226">
        <v>30</v>
      </c>
      <c r="E20" s="18" t="s">
        <v>785</v>
      </c>
      <c r="F20" s="227">
        <v>30.6</v>
      </c>
    </row>
    <row r="21" spans="1:6" ht="33" customHeight="1">
      <c r="A21" s="224"/>
      <c r="B21" s="225"/>
      <c r="C21" s="222" t="s">
        <v>277</v>
      </c>
      <c r="D21" s="226">
        <v>162</v>
      </c>
      <c r="E21" s="18" t="s">
        <v>565</v>
      </c>
      <c r="F21" s="223">
        <v>20</v>
      </c>
    </row>
    <row r="22" spans="1:6" ht="30" customHeight="1">
      <c r="A22" s="224"/>
      <c r="B22" s="225"/>
      <c r="C22" s="222" t="s">
        <v>278</v>
      </c>
      <c r="D22" s="226">
        <v>80</v>
      </c>
      <c r="E22" s="18" t="s">
        <v>278</v>
      </c>
      <c r="F22" s="223">
        <v>110</v>
      </c>
    </row>
    <row r="23" spans="1:6" ht="33.75" customHeight="1">
      <c r="A23" s="224"/>
      <c r="B23" s="225"/>
      <c r="C23" s="222" t="s">
        <v>279</v>
      </c>
      <c r="D23" s="226">
        <v>24</v>
      </c>
      <c r="E23" s="18" t="s">
        <v>566</v>
      </c>
      <c r="F23" s="223">
        <v>10</v>
      </c>
    </row>
    <row r="24" spans="1:6" ht="39.75" customHeight="1">
      <c r="A24" s="224"/>
      <c r="B24" s="225"/>
      <c r="C24" s="222" t="s">
        <v>280</v>
      </c>
      <c r="D24" s="226">
        <v>29</v>
      </c>
      <c r="E24" s="18" t="s">
        <v>280</v>
      </c>
      <c r="F24" s="223">
        <v>30</v>
      </c>
    </row>
    <row r="25" spans="1:6" ht="42.75" customHeight="1">
      <c r="A25" s="224"/>
      <c r="B25" s="225"/>
      <c r="C25" s="222" t="s">
        <v>281</v>
      </c>
      <c r="D25" s="226">
        <v>50</v>
      </c>
      <c r="E25" s="18" t="s">
        <v>780</v>
      </c>
      <c r="F25" s="223">
        <v>100</v>
      </c>
    </row>
    <row r="26" spans="1:7" ht="64.5" customHeight="1">
      <c r="A26" s="211"/>
      <c r="B26" s="217"/>
      <c r="C26" s="218"/>
      <c r="D26" s="228"/>
      <c r="E26" s="18" t="s">
        <v>778</v>
      </c>
      <c r="F26" s="223">
        <v>130</v>
      </c>
      <c r="G26" s="229"/>
    </row>
    <row r="27" spans="1:6" ht="55.5" customHeight="1">
      <c r="A27" s="211"/>
      <c r="B27" s="217"/>
      <c r="C27" s="218"/>
      <c r="D27" s="228"/>
      <c r="E27" s="18" t="s">
        <v>779</v>
      </c>
      <c r="F27" s="223">
        <v>360</v>
      </c>
    </row>
    <row r="28" spans="1:6" ht="32.25" customHeight="1">
      <c r="A28" s="211">
        <v>2</v>
      </c>
      <c r="B28" s="217" t="s">
        <v>842</v>
      </c>
      <c r="C28" s="230"/>
      <c r="D28" s="226">
        <v>100</v>
      </c>
      <c r="E28" s="230"/>
      <c r="F28" s="215">
        <f>SUM(F29:F30)</f>
        <v>100</v>
      </c>
    </row>
    <row r="29" spans="1:6" ht="60" customHeight="1">
      <c r="A29" s="224"/>
      <c r="B29" s="225"/>
      <c r="C29" s="231" t="s">
        <v>282</v>
      </c>
      <c r="D29" s="214">
        <v>60</v>
      </c>
      <c r="E29" s="231" t="s">
        <v>786</v>
      </c>
      <c r="F29" s="232">
        <v>60</v>
      </c>
    </row>
    <row r="30" spans="1:6" ht="25.5" customHeight="1">
      <c r="A30" s="224"/>
      <c r="B30" s="225"/>
      <c r="C30" s="231" t="s">
        <v>283</v>
      </c>
      <c r="D30" s="226">
        <v>40</v>
      </c>
      <c r="E30" s="231" t="s">
        <v>283</v>
      </c>
      <c r="F30" s="232">
        <v>40</v>
      </c>
    </row>
    <row r="31" spans="1:6" ht="35.25" customHeight="1">
      <c r="A31" s="211">
        <v>3</v>
      </c>
      <c r="B31" s="217" t="s">
        <v>418</v>
      </c>
      <c r="C31" s="230"/>
      <c r="D31" s="226">
        <v>100</v>
      </c>
      <c r="E31" s="230"/>
      <c r="F31" s="215">
        <f>SUM(F32:F33)</f>
        <v>100</v>
      </c>
    </row>
    <row r="32" spans="1:6" ht="61.5" customHeight="1">
      <c r="A32" s="224"/>
      <c r="B32" s="225"/>
      <c r="C32" s="231" t="s">
        <v>284</v>
      </c>
      <c r="D32" s="214">
        <v>72</v>
      </c>
      <c r="E32" s="231" t="s">
        <v>787</v>
      </c>
      <c r="F32" s="232">
        <v>72</v>
      </c>
    </row>
    <row r="33" spans="1:6" ht="32.25" customHeight="1">
      <c r="A33" s="224"/>
      <c r="B33" s="225"/>
      <c r="C33" s="231" t="s">
        <v>391</v>
      </c>
      <c r="D33" s="226">
        <v>28</v>
      </c>
      <c r="E33" s="231" t="s">
        <v>391</v>
      </c>
      <c r="F33" s="232">
        <v>28</v>
      </c>
    </row>
    <row r="34" spans="1:6" s="221" customFormat="1" ht="64.5" customHeight="1">
      <c r="A34" s="212">
        <v>4</v>
      </c>
      <c r="B34" s="233" t="s">
        <v>285</v>
      </c>
      <c r="C34" s="230"/>
      <c r="D34" s="226">
        <v>273</v>
      </c>
      <c r="E34" s="230"/>
      <c r="F34" s="215">
        <f>SUM(F35:F38)</f>
        <v>155</v>
      </c>
    </row>
    <row r="35" spans="1:6" ht="32.25" customHeight="1">
      <c r="A35" s="224"/>
      <c r="B35" s="234" t="s">
        <v>27</v>
      </c>
      <c r="C35" s="235" t="s">
        <v>286</v>
      </c>
      <c r="D35" s="236">
        <v>50</v>
      </c>
      <c r="E35" s="234" t="s">
        <v>286</v>
      </c>
      <c r="F35" s="237">
        <v>50</v>
      </c>
    </row>
    <row r="36" spans="1:6" ht="27.75" customHeight="1">
      <c r="A36" s="224"/>
      <c r="B36" s="234" t="s">
        <v>420</v>
      </c>
      <c r="C36" s="235" t="s">
        <v>286</v>
      </c>
      <c r="D36" s="236">
        <v>40</v>
      </c>
      <c r="E36" s="234" t="s">
        <v>286</v>
      </c>
      <c r="F36" s="237">
        <v>40</v>
      </c>
    </row>
    <row r="37" spans="1:6" ht="54.75" customHeight="1">
      <c r="A37" s="224"/>
      <c r="B37" s="234" t="s">
        <v>788</v>
      </c>
      <c r="C37" s="235" t="s">
        <v>286</v>
      </c>
      <c r="D37" s="236">
        <v>15</v>
      </c>
      <c r="E37" s="234" t="s">
        <v>286</v>
      </c>
      <c r="F37" s="237">
        <v>30</v>
      </c>
    </row>
    <row r="38" spans="1:6" ht="33.75" customHeight="1">
      <c r="A38" s="224"/>
      <c r="B38" s="234" t="s">
        <v>618</v>
      </c>
      <c r="C38" s="235" t="s">
        <v>286</v>
      </c>
      <c r="D38" s="236">
        <v>35</v>
      </c>
      <c r="E38" s="234" t="s">
        <v>286</v>
      </c>
      <c r="F38" s="237">
        <v>35</v>
      </c>
    </row>
    <row r="39" spans="1:6" s="221" customFormat="1" ht="28.5" customHeight="1">
      <c r="A39" s="238">
        <v>5</v>
      </c>
      <c r="B39" s="239" t="s">
        <v>287</v>
      </c>
      <c r="C39" s="240"/>
      <c r="D39" s="241">
        <v>50</v>
      </c>
      <c r="E39" s="240"/>
      <c r="F39" s="242">
        <f>F40</f>
        <v>50</v>
      </c>
    </row>
    <row r="40" spans="1:6" ht="37.5" customHeight="1">
      <c r="A40" s="224"/>
      <c r="B40" s="231" t="s">
        <v>584</v>
      </c>
      <c r="C40" s="231"/>
      <c r="D40" s="226">
        <v>50</v>
      </c>
      <c r="E40" s="231"/>
      <c r="F40" s="232">
        <v>50</v>
      </c>
    </row>
    <row r="41" spans="1:6" ht="27" customHeight="1">
      <c r="A41" s="211" t="s">
        <v>296</v>
      </c>
      <c r="B41" s="216" t="s">
        <v>696</v>
      </c>
      <c r="C41" s="230"/>
      <c r="D41" s="228"/>
      <c r="E41" s="230"/>
      <c r="F41" s="215">
        <f>F42</f>
        <v>116</v>
      </c>
    </row>
    <row r="42" spans="1:6" ht="70.5" customHeight="1">
      <c r="A42" s="212">
        <v>1</v>
      </c>
      <c r="B42" s="233" t="s">
        <v>285</v>
      </c>
      <c r="C42" s="230"/>
      <c r="D42" s="228"/>
      <c r="E42" s="243" t="s">
        <v>817</v>
      </c>
      <c r="F42" s="237">
        <f>2*58</f>
        <v>116</v>
      </c>
    </row>
  </sheetData>
  <sheetProtection/>
  <mergeCells count="4">
    <mergeCell ref="A9:F9"/>
    <mergeCell ref="A7:F7"/>
    <mergeCell ref="A8:F8"/>
    <mergeCell ref="A6:F6"/>
  </mergeCells>
  <printOptions/>
  <pageMargins left="0.59" right="0.47" top="0.45" bottom="0.64" header="0.5" footer="0.19"/>
  <pageSetup horizontalDpi="600" verticalDpi="600" orientation="portrait" paperSize="9" scale="80"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sheetPr>
    <tabColor rgb="FF0070C0"/>
  </sheetPr>
  <dimension ref="A1:H51"/>
  <sheetViews>
    <sheetView zoomScale="130" zoomScaleNormal="130" zoomScalePageLayoutView="0" workbookViewId="0" topLeftCell="A1">
      <selection activeCell="A6" sqref="A6:F6"/>
    </sheetView>
  </sheetViews>
  <sheetFormatPr defaultColWidth="9.140625" defaultRowHeight="12.75"/>
  <cols>
    <col min="1" max="1" width="9.7109375" style="682" customWidth="1"/>
    <col min="2" max="2" width="9.140625" style="682" customWidth="1"/>
    <col min="3" max="3" width="68.421875" style="682" customWidth="1"/>
    <col min="4" max="4" width="16.140625" style="682" customWidth="1"/>
    <col min="5" max="5" width="8.140625" style="682" hidden="1" customWidth="1"/>
    <col min="6" max="6" width="1.28515625" style="682" hidden="1" customWidth="1"/>
    <col min="7" max="7" width="9.140625" style="682" customWidth="1"/>
    <col min="8" max="8" width="14.7109375" style="682" customWidth="1"/>
    <col min="9" max="16384" width="9.140625" style="682" customWidth="1"/>
  </cols>
  <sheetData>
    <row r="1" spans="1:5" ht="15.75">
      <c r="A1" s="678" t="s">
        <v>65</v>
      </c>
      <c r="B1" s="679"/>
      <c r="C1" s="678"/>
      <c r="D1" s="680"/>
      <c r="E1" s="681"/>
    </row>
    <row r="2" spans="1:5" ht="15.75">
      <c r="A2" s="678" t="s">
        <v>64</v>
      </c>
      <c r="B2" s="679"/>
      <c r="C2" s="678"/>
      <c r="D2" s="680"/>
      <c r="E2" s="681"/>
    </row>
    <row r="3" spans="1:5" ht="15.75">
      <c r="A3" s="679"/>
      <c r="B3" s="679"/>
      <c r="C3" s="678"/>
      <c r="D3" s="680"/>
      <c r="E3" s="681"/>
    </row>
    <row r="4" spans="1:5" ht="15.75">
      <c r="A4" s="1040" t="s">
        <v>483</v>
      </c>
      <c r="B4" s="1040"/>
      <c r="C4" s="1040"/>
      <c r="D4" s="1040"/>
      <c r="E4" s="681"/>
    </row>
    <row r="5" spans="1:6" ht="21" customHeight="1">
      <c r="A5" s="1040" t="s">
        <v>877</v>
      </c>
      <c r="B5" s="1040"/>
      <c r="C5" s="1040"/>
      <c r="D5" s="1040"/>
      <c r="E5" s="1040"/>
      <c r="F5" s="1040"/>
    </row>
    <row r="6" spans="1:6" ht="20.25" customHeight="1">
      <c r="A6" s="1045" t="s">
        <v>888</v>
      </c>
      <c r="B6" s="1045"/>
      <c r="C6" s="1045"/>
      <c r="D6" s="1045"/>
      <c r="E6" s="1045"/>
      <c r="F6" s="1045"/>
    </row>
    <row r="7" spans="1:6" ht="18.75" customHeight="1">
      <c r="A7" s="683"/>
      <c r="B7" s="679"/>
      <c r="C7" s="678"/>
      <c r="D7" s="892" t="s">
        <v>292</v>
      </c>
      <c r="E7" s="1050" t="s">
        <v>292</v>
      </c>
      <c r="F7" s="1050"/>
    </row>
    <row r="8" spans="1:6" ht="38.25" customHeight="1">
      <c r="A8" s="559" t="s">
        <v>293</v>
      </c>
      <c r="B8" s="998" t="s">
        <v>481</v>
      </c>
      <c r="C8" s="1000"/>
      <c r="D8" s="559" t="s">
        <v>81</v>
      </c>
      <c r="E8" s="559" t="s">
        <v>82</v>
      </c>
      <c r="F8" s="559" t="s">
        <v>83</v>
      </c>
    </row>
    <row r="9" spans="1:8" ht="21" customHeight="1">
      <c r="A9" s="559"/>
      <c r="B9" s="1051" t="s">
        <v>456</v>
      </c>
      <c r="C9" s="1051"/>
      <c r="D9" s="685">
        <f>D10+D13+D24+D31+D47</f>
        <v>10823</v>
      </c>
      <c r="E9" s="685" t="e">
        <f>E10+E13+E24+#REF!+E31+E47</f>
        <v>#REF!</v>
      </c>
      <c r="F9" s="685" t="e">
        <f>F10+F13+F24+#REF!+F31+F47</f>
        <v>#REF!</v>
      </c>
      <c r="G9" s="686"/>
      <c r="H9" s="687"/>
    </row>
    <row r="10" spans="1:8" ht="19.5" customHeight="1">
      <c r="A10" s="559" t="s">
        <v>295</v>
      </c>
      <c r="B10" s="688" t="s">
        <v>84</v>
      </c>
      <c r="C10" s="684"/>
      <c r="D10" s="685">
        <f>D11</f>
        <v>1638</v>
      </c>
      <c r="E10" s="685">
        <f>E11</f>
        <v>0</v>
      </c>
      <c r="F10" s="689">
        <f>D10-E10</f>
        <v>1638</v>
      </c>
      <c r="H10" s="687"/>
    </row>
    <row r="11" spans="1:8" ht="21" customHeight="1">
      <c r="A11" s="559">
        <v>1</v>
      </c>
      <c r="B11" s="1041" t="s">
        <v>28</v>
      </c>
      <c r="C11" s="1041"/>
      <c r="D11" s="685">
        <f>D12</f>
        <v>1638</v>
      </c>
      <c r="E11" s="685">
        <f>E12</f>
        <v>0</v>
      </c>
      <c r="F11" s="685">
        <f>F12</f>
        <v>1638</v>
      </c>
      <c r="H11" s="687"/>
    </row>
    <row r="12" spans="1:8" ht="36.75" customHeight="1">
      <c r="A12" s="559"/>
      <c r="B12" s="1043" t="s">
        <v>650</v>
      </c>
      <c r="C12" s="1043"/>
      <c r="D12" s="690">
        <v>1638</v>
      </c>
      <c r="E12" s="691"/>
      <c r="F12" s="11">
        <f>D12-E12</f>
        <v>1638</v>
      </c>
      <c r="H12" s="687"/>
    </row>
    <row r="13" spans="1:8" ht="29.25" customHeight="1">
      <c r="A13" s="559" t="s">
        <v>296</v>
      </c>
      <c r="B13" s="1052" t="s">
        <v>7</v>
      </c>
      <c r="C13" s="1052"/>
      <c r="D13" s="685">
        <f>D14+D16+D18+D20+D22</f>
        <v>1300</v>
      </c>
      <c r="E13" s="685" t="e">
        <f>E14+E16+E18+#REF!+#REF!</f>
        <v>#REF!</v>
      </c>
      <c r="F13" s="685" t="e">
        <f>F14+F16+F18+#REF!+#REF!</f>
        <v>#REF!</v>
      </c>
      <c r="H13" s="687"/>
    </row>
    <row r="14" spans="1:6" ht="27" customHeight="1">
      <c r="A14" s="684">
        <v>1</v>
      </c>
      <c r="B14" s="1052" t="s">
        <v>29</v>
      </c>
      <c r="C14" s="1052"/>
      <c r="D14" s="685">
        <f>D15</f>
        <v>400</v>
      </c>
      <c r="E14" s="685">
        <f>E15</f>
        <v>0</v>
      </c>
      <c r="F14" s="685">
        <f>F15</f>
        <v>400</v>
      </c>
    </row>
    <row r="15" spans="1:6" ht="59.25" customHeight="1">
      <c r="A15" s="692"/>
      <c r="B15" s="1043" t="s">
        <v>772</v>
      </c>
      <c r="C15" s="1043"/>
      <c r="D15" s="690">
        <v>400</v>
      </c>
      <c r="E15" s="689">
        <v>0</v>
      </c>
      <c r="F15" s="11">
        <f aca="true" t="shared" si="0" ref="F15:F26">D15-E15</f>
        <v>400</v>
      </c>
    </row>
    <row r="16" spans="1:6" ht="23.25" customHeight="1">
      <c r="A16" s="684">
        <v>2</v>
      </c>
      <c r="B16" s="1055" t="s">
        <v>618</v>
      </c>
      <c r="C16" s="1055"/>
      <c r="D16" s="685">
        <f>D17</f>
        <v>400</v>
      </c>
      <c r="E16" s="689"/>
      <c r="F16" s="689">
        <f t="shared" si="0"/>
        <v>400</v>
      </c>
    </row>
    <row r="17" spans="1:7" ht="60.75" customHeight="1">
      <c r="A17" s="692"/>
      <c r="B17" s="1043" t="s">
        <v>773</v>
      </c>
      <c r="C17" s="1043"/>
      <c r="D17" s="690">
        <v>400</v>
      </c>
      <c r="E17" s="689"/>
      <c r="F17" s="11">
        <f t="shared" si="0"/>
        <v>400</v>
      </c>
      <c r="G17" s="693"/>
    </row>
    <row r="18" spans="1:6" ht="23.25" customHeight="1">
      <c r="A18" s="684">
        <v>3</v>
      </c>
      <c r="B18" s="1041" t="s">
        <v>431</v>
      </c>
      <c r="C18" s="1041"/>
      <c r="D18" s="685">
        <f>D19</f>
        <v>339</v>
      </c>
      <c r="E18" s="689"/>
      <c r="F18" s="689">
        <f t="shared" si="0"/>
        <v>339</v>
      </c>
    </row>
    <row r="19" spans="1:6" ht="32.25" customHeight="1">
      <c r="A19" s="692"/>
      <c r="B19" s="1043" t="s">
        <v>265</v>
      </c>
      <c r="C19" s="1043"/>
      <c r="D19" s="690">
        <v>339</v>
      </c>
      <c r="E19" s="689"/>
      <c r="F19" s="11">
        <f t="shared" si="0"/>
        <v>339</v>
      </c>
    </row>
    <row r="20" spans="1:6" ht="23.25" customHeight="1">
      <c r="A20" s="684">
        <v>4</v>
      </c>
      <c r="B20" s="1053" t="s">
        <v>774</v>
      </c>
      <c r="C20" s="1054"/>
      <c r="D20" s="685">
        <f>D21</f>
        <v>151</v>
      </c>
      <c r="E20" s="689"/>
      <c r="F20" s="11"/>
    </row>
    <row r="21" spans="1:6" ht="53.25" customHeight="1">
      <c r="A21" s="692"/>
      <c r="B21" s="1048" t="s">
        <v>775</v>
      </c>
      <c r="C21" s="1049"/>
      <c r="D21" s="690">
        <v>151</v>
      </c>
      <c r="E21" s="689"/>
      <c r="F21" s="11"/>
    </row>
    <row r="22" spans="1:6" ht="23.25" customHeight="1">
      <c r="A22" s="692">
        <v>5</v>
      </c>
      <c r="B22" s="1053" t="s">
        <v>870</v>
      </c>
      <c r="C22" s="1054"/>
      <c r="D22" s="685">
        <f>D23</f>
        <v>10</v>
      </c>
      <c r="E22" s="689"/>
      <c r="F22" s="11"/>
    </row>
    <row r="23" spans="1:6" ht="35.25" customHeight="1">
      <c r="A23" s="692"/>
      <c r="B23" s="1048" t="s">
        <v>871</v>
      </c>
      <c r="C23" s="1049"/>
      <c r="D23" s="690">
        <v>10</v>
      </c>
      <c r="E23" s="689"/>
      <c r="F23" s="11"/>
    </row>
    <row r="24" spans="1:6" ht="25.5" customHeight="1">
      <c r="A24" s="684" t="s">
        <v>297</v>
      </c>
      <c r="B24" s="1042" t="s">
        <v>85</v>
      </c>
      <c r="C24" s="1042"/>
      <c r="D24" s="685">
        <f>D25+D27+D29</f>
        <v>284</v>
      </c>
      <c r="E24" s="689"/>
      <c r="F24" s="689">
        <f t="shared" si="0"/>
        <v>284</v>
      </c>
    </row>
    <row r="25" spans="1:6" ht="21.75" customHeight="1">
      <c r="A25" s="684">
        <v>1</v>
      </c>
      <c r="B25" s="1041" t="s">
        <v>436</v>
      </c>
      <c r="C25" s="1041"/>
      <c r="D25" s="685">
        <f>D26</f>
        <v>100</v>
      </c>
      <c r="E25" s="689"/>
      <c r="F25" s="689">
        <f t="shared" si="0"/>
        <v>100</v>
      </c>
    </row>
    <row r="26" spans="1:6" ht="34.5" customHeight="1">
      <c r="A26" s="692"/>
      <c r="B26" s="1043" t="s">
        <v>869</v>
      </c>
      <c r="C26" s="1043"/>
      <c r="D26" s="690">
        <v>100</v>
      </c>
      <c r="E26" s="689"/>
      <c r="F26" s="11">
        <f t="shared" si="0"/>
        <v>100</v>
      </c>
    </row>
    <row r="27" spans="1:6" ht="21.75" customHeight="1">
      <c r="A27" s="684">
        <v>2</v>
      </c>
      <c r="B27" s="1055" t="s">
        <v>440</v>
      </c>
      <c r="C27" s="1055"/>
      <c r="D27" s="685">
        <f>D28</f>
        <v>60</v>
      </c>
      <c r="E27" s="689"/>
      <c r="F27" s="689">
        <f>F28</f>
        <v>60</v>
      </c>
    </row>
    <row r="28" spans="1:6" ht="21.75" customHeight="1">
      <c r="A28" s="692"/>
      <c r="B28" s="1043" t="s">
        <v>840</v>
      </c>
      <c r="C28" s="1043"/>
      <c r="D28" s="690">
        <v>60</v>
      </c>
      <c r="E28" s="689"/>
      <c r="F28" s="11">
        <f>D28</f>
        <v>60</v>
      </c>
    </row>
    <row r="29" spans="1:7" ht="28.5" customHeight="1">
      <c r="A29" s="684">
        <v>3</v>
      </c>
      <c r="B29" s="1041" t="s">
        <v>290</v>
      </c>
      <c r="C29" s="1041"/>
      <c r="D29" s="685">
        <f>D30</f>
        <v>124</v>
      </c>
      <c r="E29" s="689"/>
      <c r="F29" s="689">
        <f>F30</f>
        <v>124</v>
      </c>
      <c r="G29" s="678"/>
    </row>
    <row r="30" spans="1:6" ht="38.25" customHeight="1">
      <c r="A30" s="692"/>
      <c r="B30" s="1048" t="s">
        <v>264</v>
      </c>
      <c r="C30" s="1049"/>
      <c r="D30" s="690">
        <v>124</v>
      </c>
      <c r="E30" s="689"/>
      <c r="F30" s="11">
        <f>D30</f>
        <v>124</v>
      </c>
    </row>
    <row r="31" spans="1:6" s="28" customFormat="1" ht="21.75" customHeight="1">
      <c r="A31" s="452" t="s">
        <v>298</v>
      </c>
      <c r="B31" s="1042" t="s">
        <v>86</v>
      </c>
      <c r="C31" s="1042"/>
      <c r="D31" s="695">
        <f>D32+D35+D37+D40+D43+D45</f>
        <v>6360</v>
      </c>
      <c r="E31" s="696" t="e">
        <f>E32+E35+E37+E40+E43+#REF!</f>
        <v>#REF!</v>
      </c>
      <c r="F31" s="696" t="e">
        <f>F32+F35+F37+F40+F43+#REF!</f>
        <v>#REF!</v>
      </c>
    </row>
    <row r="32" spans="1:6" s="35" customFormat="1" ht="21.75" customHeight="1">
      <c r="A32" s="452">
        <v>1</v>
      </c>
      <c r="B32" s="1042" t="s">
        <v>582</v>
      </c>
      <c r="C32" s="1042"/>
      <c r="D32" s="133">
        <f>D33+D34</f>
        <v>3500</v>
      </c>
      <c r="E32" s="697">
        <f>E33+E34</f>
        <v>0</v>
      </c>
      <c r="F32" s="697">
        <f>F33+F34</f>
        <v>3500</v>
      </c>
    </row>
    <row r="33" spans="1:6" s="28" customFormat="1" ht="21" customHeight="1">
      <c r="A33" s="698"/>
      <c r="B33" s="1044" t="s">
        <v>616</v>
      </c>
      <c r="C33" s="1044"/>
      <c r="D33" s="134">
        <v>2000</v>
      </c>
      <c r="E33" s="484"/>
      <c r="F33" s="699">
        <f>D33-E33</f>
        <v>2000</v>
      </c>
    </row>
    <row r="34" spans="1:6" s="28" customFormat="1" ht="21" customHeight="1">
      <c r="A34" s="698"/>
      <c r="B34" s="1044" t="s">
        <v>385</v>
      </c>
      <c r="C34" s="1044"/>
      <c r="D34" s="134">
        <v>1500</v>
      </c>
      <c r="E34" s="484"/>
      <c r="F34" s="699">
        <f>D34-E34</f>
        <v>1500</v>
      </c>
    </row>
    <row r="35" spans="1:6" s="35" customFormat="1" ht="21.75" customHeight="1">
      <c r="A35" s="452">
        <v>2</v>
      </c>
      <c r="B35" s="1042" t="s">
        <v>644</v>
      </c>
      <c r="C35" s="1042"/>
      <c r="D35" s="133">
        <f>D36</f>
        <v>300</v>
      </c>
      <c r="E35" s="700"/>
      <c r="F35" s="701">
        <f>D35-E35</f>
        <v>300</v>
      </c>
    </row>
    <row r="36" spans="1:6" s="28" customFormat="1" ht="19.5" customHeight="1">
      <c r="A36" s="698"/>
      <c r="B36" s="1044" t="s">
        <v>770</v>
      </c>
      <c r="C36" s="1044"/>
      <c r="D36" s="134">
        <v>300</v>
      </c>
      <c r="E36" s="484"/>
      <c r="F36" s="299">
        <f>D36-E36</f>
        <v>300</v>
      </c>
    </row>
    <row r="37" spans="1:6" s="35" customFormat="1" ht="21.75" customHeight="1">
      <c r="A37" s="452">
        <v>3</v>
      </c>
      <c r="B37" s="1042" t="s">
        <v>424</v>
      </c>
      <c r="C37" s="1042"/>
      <c r="D37" s="133">
        <f>D38+D39</f>
        <v>2060</v>
      </c>
      <c r="E37" s="697" t="e">
        <f>E38+#REF!+E39</f>
        <v>#REF!</v>
      </c>
      <c r="F37" s="697" t="e">
        <f>F38+#REF!+F39</f>
        <v>#REF!</v>
      </c>
    </row>
    <row r="38" spans="1:6" s="28" customFormat="1" ht="20.25" customHeight="1">
      <c r="A38" s="698"/>
      <c r="B38" s="1044" t="s">
        <v>386</v>
      </c>
      <c r="C38" s="1044"/>
      <c r="D38" s="134">
        <v>60</v>
      </c>
      <c r="E38" s="484"/>
      <c r="F38" s="299">
        <f>D38-E38</f>
        <v>60</v>
      </c>
    </row>
    <row r="39" spans="1:6" s="28" customFormat="1" ht="21.75" customHeight="1">
      <c r="A39" s="698"/>
      <c r="B39" s="1046" t="s">
        <v>617</v>
      </c>
      <c r="C39" s="1047"/>
      <c r="D39" s="134">
        <v>2000</v>
      </c>
      <c r="E39" s="484"/>
      <c r="F39" s="299">
        <f>D39-E39</f>
        <v>2000</v>
      </c>
    </row>
    <row r="40" spans="1:6" s="35" customFormat="1" ht="21.75" customHeight="1">
      <c r="A40" s="452">
        <v>4</v>
      </c>
      <c r="B40" s="1042" t="s">
        <v>418</v>
      </c>
      <c r="C40" s="1042"/>
      <c r="D40" s="133">
        <f>D41+D42</f>
        <v>300</v>
      </c>
      <c r="E40" s="700"/>
      <c r="F40" s="701">
        <f>D40-E40</f>
        <v>300</v>
      </c>
    </row>
    <row r="41" spans="1:6" s="28" customFormat="1" ht="21" customHeight="1">
      <c r="A41" s="698"/>
      <c r="B41" s="1044" t="s">
        <v>387</v>
      </c>
      <c r="C41" s="1044"/>
      <c r="D41" s="702">
        <v>200</v>
      </c>
      <c r="E41" s="484"/>
      <c r="F41" s="299">
        <v>200</v>
      </c>
    </row>
    <row r="42" spans="1:6" s="28" customFormat="1" ht="21" customHeight="1">
      <c r="A42" s="698"/>
      <c r="B42" s="1044" t="s">
        <v>208</v>
      </c>
      <c r="C42" s="1044"/>
      <c r="D42" s="702">
        <v>100</v>
      </c>
      <c r="E42" s="484"/>
      <c r="F42" s="299">
        <v>100</v>
      </c>
    </row>
    <row r="43" spans="1:6" s="35" customFormat="1" ht="21.75" customHeight="1">
      <c r="A43" s="452">
        <v>5</v>
      </c>
      <c r="B43" s="1042" t="s">
        <v>89</v>
      </c>
      <c r="C43" s="1042"/>
      <c r="D43" s="133">
        <f>D44</f>
        <v>100</v>
      </c>
      <c r="E43" s="700"/>
      <c r="F43" s="701">
        <f>D43-E43</f>
        <v>100</v>
      </c>
    </row>
    <row r="44" spans="1:6" s="28" customFormat="1" ht="33.75" customHeight="1">
      <c r="A44" s="452"/>
      <c r="B44" s="1044" t="s">
        <v>388</v>
      </c>
      <c r="C44" s="1044"/>
      <c r="D44" s="134">
        <v>100</v>
      </c>
      <c r="E44" s="484"/>
      <c r="F44" s="299">
        <f>D44-E44</f>
        <v>100</v>
      </c>
    </row>
    <row r="45" spans="1:6" s="35" customFormat="1" ht="21.75" customHeight="1">
      <c r="A45" s="452">
        <v>6</v>
      </c>
      <c r="B45" s="1042" t="s">
        <v>700</v>
      </c>
      <c r="C45" s="1042"/>
      <c r="D45" s="133">
        <f>D46</f>
        <v>100</v>
      </c>
      <c r="E45" s="700"/>
      <c r="F45" s="703"/>
    </row>
    <row r="46" spans="1:6" s="28" customFormat="1" ht="23.25" customHeight="1">
      <c r="A46" s="698"/>
      <c r="B46" s="1044" t="s">
        <v>90</v>
      </c>
      <c r="C46" s="1044"/>
      <c r="D46" s="134">
        <v>100</v>
      </c>
      <c r="E46" s="484"/>
      <c r="F46" s="299"/>
    </row>
    <row r="47" spans="1:6" s="28" customFormat="1" ht="19.5" customHeight="1">
      <c r="A47" s="452" t="s">
        <v>405</v>
      </c>
      <c r="B47" s="1042" t="s">
        <v>789</v>
      </c>
      <c r="C47" s="1042"/>
      <c r="D47" s="695">
        <f>SUM(D48:D51)</f>
        <v>1241</v>
      </c>
      <c r="E47" s="484"/>
      <c r="F47" s="696">
        <f>D47-E47</f>
        <v>1241</v>
      </c>
    </row>
    <row r="48" spans="1:6" s="28" customFormat="1" ht="27" customHeight="1">
      <c r="A48" s="698">
        <v>1</v>
      </c>
      <c r="B48" s="484" t="s">
        <v>562</v>
      </c>
      <c r="C48" s="484"/>
      <c r="D48" s="704">
        <v>171</v>
      </c>
      <c r="E48" s="484"/>
      <c r="F48" s="699">
        <f>D48-E48</f>
        <v>171</v>
      </c>
    </row>
    <row r="49" spans="1:4" s="28" customFormat="1" ht="33.75" customHeight="1">
      <c r="A49" s="698">
        <v>2</v>
      </c>
      <c r="B49" s="1043" t="s">
        <v>266</v>
      </c>
      <c r="C49" s="1043"/>
      <c r="D49" s="690">
        <v>770</v>
      </c>
    </row>
    <row r="50" spans="1:4" s="28" customFormat="1" ht="33.75" customHeight="1">
      <c r="A50" s="698">
        <v>3</v>
      </c>
      <c r="B50" s="1048" t="s">
        <v>790</v>
      </c>
      <c r="C50" s="1049"/>
      <c r="D50" s="690">
        <v>300</v>
      </c>
    </row>
    <row r="51" spans="1:4" ht="30" customHeight="1" hidden="1">
      <c r="A51" s="698"/>
      <c r="B51" s="1043"/>
      <c r="C51" s="1043"/>
      <c r="D51" s="11"/>
    </row>
  </sheetData>
  <sheetProtection/>
  <mergeCells count="46">
    <mergeCell ref="B22:C22"/>
    <mergeCell ref="B23:C23"/>
    <mergeCell ref="B50:C50"/>
    <mergeCell ref="B33:C33"/>
    <mergeCell ref="B31:C31"/>
    <mergeCell ref="B32:C32"/>
    <mergeCell ref="B28:C28"/>
    <mergeCell ref="B27:C27"/>
    <mergeCell ref="B43:C43"/>
    <mergeCell ref="B41:C41"/>
    <mergeCell ref="B42:C42"/>
    <mergeCell ref="B40:C40"/>
    <mergeCell ref="B25:C25"/>
    <mergeCell ref="B20:C20"/>
    <mergeCell ref="B30:C30"/>
    <mergeCell ref="B12:C12"/>
    <mergeCell ref="B14:C14"/>
    <mergeCell ref="B26:C26"/>
    <mergeCell ref="B16:C16"/>
    <mergeCell ref="B17:C17"/>
    <mergeCell ref="B21:C21"/>
    <mergeCell ref="E7:F7"/>
    <mergeCell ref="B8:C8"/>
    <mergeCell ref="B9:C9"/>
    <mergeCell ref="B13:C13"/>
    <mergeCell ref="B15:C15"/>
    <mergeCell ref="A6:F6"/>
    <mergeCell ref="B11:C11"/>
    <mergeCell ref="B34:C34"/>
    <mergeCell ref="B49:C49"/>
    <mergeCell ref="B45:C45"/>
    <mergeCell ref="B39:C39"/>
    <mergeCell ref="B36:C36"/>
    <mergeCell ref="B46:C46"/>
    <mergeCell ref="B47:C47"/>
    <mergeCell ref="B19:C19"/>
    <mergeCell ref="A5:F5"/>
    <mergeCell ref="B18:C18"/>
    <mergeCell ref="B24:C24"/>
    <mergeCell ref="B51:C51"/>
    <mergeCell ref="A4:D4"/>
    <mergeCell ref="B38:C38"/>
    <mergeCell ref="B44:C44"/>
    <mergeCell ref="B37:C37"/>
    <mergeCell ref="B29:C29"/>
    <mergeCell ref="B35:C35"/>
  </mergeCells>
  <printOptions/>
  <pageMargins left="0.5511811023622047" right="0.2362204724409449" top="0.5118110236220472" bottom="0.4724409448818898" header="0.5118110236220472" footer="0.2755905511811024"/>
  <pageSetup horizontalDpi="600" verticalDpi="600" orientation="portrait" paperSize="9" scale="90" r:id="rId2"/>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I46"/>
  <sheetViews>
    <sheetView zoomScalePageLayoutView="0" workbookViewId="0" topLeftCell="A1">
      <selection activeCell="A6" sqref="A6:I6"/>
    </sheetView>
  </sheetViews>
  <sheetFormatPr defaultColWidth="15.7109375" defaultRowHeight="12.75"/>
  <cols>
    <col min="1" max="1" width="5.00390625" style="50" customWidth="1"/>
    <col min="2" max="2" width="37.140625" style="48" customWidth="1"/>
    <col min="3" max="3" width="6.57421875" style="113" hidden="1" customWidth="1"/>
    <col min="4" max="4" width="9.140625" style="113" hidden="1" customWidth="1"/>
    <col min="5" max="5" width="6.28125" style="114" hidden="1" customWidth="1"/>
    <col min="6" max="6" width="7.140625" style="114" hidden="1" customWidth="1"/>
    <col min="7" max="8" width="17.7109375" style="46" customWidth="1"/>
    <col min="9" max="9" width="16.28125" style="46" customWidth="1"/>
    <col min="10" max="16384" width="15.7109375" style="46" customWidth="1"/>
  </cols>
  <sheetData>
    <row r="1" spans="1:5" ht="16.5">
      <c r="A1" s="45" t="s">
        <v>65</v>
      </c>
      <c r="B1" s="46"/>
      <c r="E1" s="113"/>
    </row>
    <row r="2" spans="1:5" ht="16.5">
      <c r="A2" s="45" t="s">
        <v>64</v>
      </c>
      <c r="B2" s="46"/>
      <c r="E2" s="113"/>
    </row>
    <row r="3" spans="1:9" ht="14.25" customHeight="1">
      <c r="A3" s="47"/>
      <c r="C3" s="114"/>
      <c r="D3" s="114"/>
      <c r="G3" s="49"/>
      <c r="H3" s="49"/>
      <c r="I3" s="49"/>
    </row>
    <row r="4" spans="1:9" ht="18" customHeight="1">
      <c r="A4" s="951" t="s">
        <v>484</v>
      </c>
      <c r="B4" s="951"/>
      <c r="C4" s="951"/>
      <c r="D4" s="951"/>
      <c r="E4" s="951"/>
      <c r="F4" s="951"/>
      <c r="G4" s="951"/>
      <c r="H4" s="951"/>
      <c r="I4" s="951"/>
    </row>
    <row r="5" spans="1:9" ht="19.5" customHeight="1">
      <c r="A5" s="897" t="s">
        <v>876</v>
      </c>
      <c r="B5" s="897"/>
      <c r="C5" s="897"/>
      <c r="D5" s="897"/>
      <c r="E5" s="897"/>
      <c r="F5" s="897"/>
      <c r="G5" s="897"/>
      <c r="H5" s="897"/>
      <c r="I5" s="897"/>
    </row>
    <row r="6" spans="1:9" ht="17.25" customHeight="1">
      <c r="A6" s="1056" t="s">
        <v>888</v>
      </c>
      <c r="B6" s="1056"/>
      <c r="C6" s="1056"/>
      <c r="D6" s="1056"/>
      <c r="E6" s="1056"/>
      <c r="F6" s="1056"/>
      <c r="G6" s="1056"/>
      <c r="H6" s="1056"/>
      <c r="I6" s="1056"/>
    </row>
    <row r="7" spans="8:9" ht="15.75" customHeight="1">
      <c r="H7" s="1062" t="s">
        <v>411</v>
      </c>
      <c r="I7" s="1062"/>
    </row>
    <row r="8" spans="1:9" ht="24" customHeight="1">
      <c r="A8" s="1059" t="s">
        <v>293</v>
      </c>
      <c r="B8" s="1060" t="s">
        <v>228</v>
      </c>
      <c r="C8" s="115"/>
      <c r="D8" s="115"/>
      <c r="E8" s="116"/>
      <c r="F8" s="116"/>
      <c r="G8" s="1061" t="s">
        <v>727</v>
      </c>
      <c r="H8" s="1057" t="s">
        <v>417</v>
      </c>
      <c r="I8" s="1058"/>
    </row>
    <row r="9" spans="1:9" ht="62.25" customHeight="1">
      <c r="A9" s="1059"/>
      <c r="B9" s="1060"/>
      <c r="C9" s="117" t="s">
        <v>231</v>
      </c>
      <c r="D9" s="117" t="s">
        <v>232</v>
      </c>
      <c r="E9" s="118" t="s">
        <v>233</v>
      </c>
      <c r="F9" s="118" t="s">
        <v>234</v>
      </c>
      <c r="G9" s="1061"/>
      <c r="H9" s="6" t="s">
        <v>235</v>
      </c>
      <c r="I9" s="6" t="s">
        <v>236</v>
      </c>
    </row>
    <row r="10" spans="1:9" s="53" customFormat="1" ht="29.25" customHeight="1">
      <c r="A10" s="51"/>
      <c r="B10" s="52" t="s">
        <v>791</v>
      </c>
      <c r="C10" s="119"/>
      <c r="D10" s="119"/>
      <c r="E10" s="119"/>
      <c r="F10" s="119"/>
      <c r="G10" s="10">
        <f>G11+G44</f>
        <v>10908</v>
      </c>
      <c r="H10" s="10">
        <f>H11+H44</f>
        <v>6544.8</v>
      </c>
      <c r="I10" s="10">
        <f>I11+I44</f>
        <v>4363.2</v>
      </c>
    </row>
    <row r="11" spans="1:9" s="54" customFormat="1" ht="30" customHeight="1">
      <c r="A11" s="12" t="s">
        <v>294</v>
      </c>
      <c r="B11" s="66" t="s">
        <v>5</v>
      </c>
      <c r="C11" s="119"/>
      <c r="D11" s="119"/>
      <c r="E11" s="119"/>
      <c r="F11" s="119"/>
      <c r="G11" s="10">
        <f>G12+G42</f>
        <v>10608</v>
      </c>
      <c r="H11" s="10">
        <f>H12+H42</f>
        <v>6364.8</v>
      </c>
      <c r="I11" s="10">
        <f>I12+I42</f>
        <v>4243.2</v>
      </c>
    </row>
    <row r="12" spans="1:9" s="53" customFormat="1" ht="21.75" customHeight="1">
      <c r="A12" s="51" t="s">
        <v>295</v>
      </c>
      <c r="B12" s="52" t="s">
        <v>489</v>
      </c>
      <c r="C12" s="120"/>
      <c r="D12" s="120"/>
      <c r="E12" s="121"/>
      <c r="F12" s="121"/>
      <c r="G12" s="10">
        <f>G13+G31</f>
        <v>10392</v>
      </c>
      <c r="H12" s="10">
        <f>H13+H31</f>
        <v>6235.2</v>
      </c>
      <c r="I12" s="10">
        <f>I13+I31</f>
        <v>4156.8</v>
      </c>
    </row>
    <row r="13" spans="1:9" s="53" customFormat="1" ht="21.75" customHeight="1">
      <c r="A13" s="5" t="s">
        <v>261</v>
      </c>
      <c r="B13" s="13" t="s">
        <v>237</v>
      </c>
      <c r="C13" s="122">
        <f>SUM(C14:C30)</f>
        <v>0</v>
      </c>
      <c r="D13" s="122">
        <f>SUM(D14:D30)</f>
        <v>5755</v>
      </c>
      <c r="E13" s="122"/>
      <c r="F13" s="122"/>
      <c r="G13" s="362">
        <f>SUM(G14:G30)</f>
        <v>5203</v>
      </c>
      <c r="H13" s="362">
        <f>SUM(H14:H30)</f>
        <v>3121.8</v>
      </c>
      <c r="I13" s="362">
        <f>SUM(I14:I30)</f>
        <v>2081.2</v>
      </c>
    </row>
    <row r="14" spans="1:9" s="42" customFormat="1" ht="21.75" customHeight="1">
      <c r="A14" s="4">
        <v>1</v>
      </c>
      <c r="B14" s="245" t="s">
        <v>238</v>
      </c>
      <c r="C14" s="246"/>
      <c r="D14" s="247">
        <v>225</v>
      </c>
      <c r="E14" s="247">
        <v>120</v>
      </c>
      <c r="F14" s="124">
        <v>9</v>
      </c>
      <c r="G14" s="259">
        <v>243</v>
      </c>
      <c r="H14" s="259">
        <f>G14*60%</f>
        <v>145.79999999999998</v>
      </c>
      <c r="I14" s="259">
        <f>G14-H14</f>
        <v>97.20000000000002</v>
      </c>
    </row>
    <row r="15" spans="1:9" s="56" customFormat="1" ht="21.75" customHeight="1">
      <c r="A15" s="55">
        <v>2</v>
      </c>
      <c r="B15" s="248" t="s">
        <v>239</v>
      </c>
      <c r="C15" s="125"/>
      <c r="D15" s="247">
        <v>380</v>
      </c>
      <c r="E15" s="247">
        <v>120</v>
      </c>
      <c r="F15" s="123">
        <v>9</v>
      </c>
      <c r="G15" s="259">
        <v>410</v>
      </c>
      <c r="H15" s="259">
        <f aca="true" t="shared" si="0" ref="H15:H41">G15*60%</f>
        <v>246</v>
      </c>
      <c r="I15" s="259">
        <f aca="true" t="shared" si="1" ref="I15:I41">G15-H15</f>
        <v>164</v>
      </c>
    </row>
    <row r="16" spans="1:9" s="56" customFormat="1" ht="21.75" customHeight="1">
      <c r="A16" s="4">
        <v>3</v>
      </c>
      <c r="B16" s="248" t="s">
        <v>240</v>
      </c>
      <c r="C16" s="249"/>
      <c r="D16" s="247">
        <v>375</v>
      </c>
      <c r="E16" s="247">
        <v>25</v>
      </c>
      <c r="F16" s="123">
        <v>9</v>
      </c>
      <c r="G16" s="259">
        <v>85</v>
      </c>
      <c r="H16" s="259">
        <v>51</v>
      </c>
      <c r="I16" s="259">
        <v>34</v>
      </c>
    </row>
    <row r="17" spans="1:9" s="56" customFormat="1" ht="21.75" customHeight="1">
      <c r="A17" s="55">
        <v>4</v>
      </c>
      <c r="B17" s="250" t="s">
        <v>241</v>
      </c>
      <c r="C17" s="251"/>
      <c r="D17" s="252">
        <v>200</v>
      </c>
      <c r="E17" s="253">
        <v>25</v>
      </c>
      <c r="F17" s="123">
        <v>9</v>
      </c>
      <c r="G17" s="259">
        <v>45</v>
      </c>
      <c r="H17" s="259">
        <f t="shared" si="0"/>
        <v>27</v>
      </c>
      <c r="I17" s="259">
        <f t="shared" si="1"/>
        <v>18</v>
      </c>
    </row>
    <row r="18" spans="1:9" s="56" customFormat="1" ht="21.75" customHeight="1">
      <c r="A18" s="4">
        <v>5</v>
      </c>
      <c r="B18" s="248" t="s">
        <v>332</v>
      </c>
      <c r="C18" s="249"/>
      <c r="D18" s="247">
        <v>430</v>
      </c>
      <c r="E18" s="247">
        <v>120</v>
      </c>
      <c r="F18" s="123">
        <v>9</v>
      </c>
      <c r="G18" s="259">
        <v>465</v>
      </c>
      <c r="H18" s="259">
        <f t="shared" si="0"/>
        <v>279</v>
      </c>
      <c r="I18" s="259">
        <f t="shared" si="1"/>
        <v>186</v>
      </c>
    </row>
    <row r="19" spans="1:9" s="56" customFormat="1" ht="21.75" customHeight="1">
      <c r="A19" s="55">
        <v>6</v>
      </c>
      <c r="B19" s="248" t="s">
        <v>242</v>
      </c>
      <c r="C19" s="249"/>
      <c r="D19" s="247">
        <v>210</v>
      </c>
      <c r="E19" s="247">
        <v>120</v>
      </c>
      <c r="F19" s="123">
        <v>9</v>
      </c>
      <c r="G19" s="259">
        <v>227</v>
      </c>
      <c r="H19" s="259">
        <f t="shared" si="0"/>
        <v>136.2</v>
      </c>
      <c r="I19" s="259">
        <f t="shared" si="1"/>
        <v>90.80000000000001</v>
      </c>
    </row>
    <row r="20" spans="1:9" s="56" customFormat="1" ht="21.75" customHeight="1">
      <c r="A20" s="4">
        <v>7</v>
      </c>
      <c r="B20" s="248" t="s">
        <v>334</v>
      </c>
      <c r="C20" s="249"/>
      <c r="D20" s="247">
        <v>427</v>
      </c>
      <c r="E20" s="254">
        <v>25</v>
      </c>
      <c r="F20" s="123">
        <v>9</v>
      </c>
      <c r="G20" s="259">
        <v>96</v>
      </c>
      <c r="H20" s="259">
        <f t="shared" si="0"/>
        <v>57.599999999999994</v>
      </c>
      <c r="I20" s="259">
        <f t="shared" si="1"/>
        <v>38.400000000000006</v>
      </c>
    </row>
    <row r="21" spans="1:9" s="56" customFormat="1" ht="21.75" customHeight="1">
      <c r="A21" s="55">
        <v>8</v>
      </c>
      <c r="B21" s="248" t="s">
        <v>243</v>
      </c>
      <c r="C21" s="249"/>
      <c r="D21" s="247">
        <v>290</v>
      </c>
      <c r="E21" s="247">
        <v>120</v>
      </c>
      <c r="F21" s="123">
        <v>9</v>
      </c>
      <c r="G21" s="259">
        <v>313</v>
      </c>
      <c r="H21" s="259">
        <f t="shared" si="0"/>
        <v>187.79999999999998</v>
      </c>
      <c r="I21" s="259">
        <f t="shared" si="1"/>
        <v>125.20000000000002</v>
      </c>
    </row>
    <row r="22" spans="1:9" s="56" customFormat="1" ht="21.75" customHeight="1">
      <c r="A22" s="4">
        <v>9</v>
      </c>
      <c r="B22" s="248" t="s">
        <v>336</v>
      </c>
      <c r="C22" s="249"/>
      <c r="D22" s="247">
        <v>525</v>
      </c>
      <c r="E22" s="247">
        <v>120</v>
      </c>
      <c r="F22" s="123">
        <v>9</v>
      </c>
      <c r="G22" s="259">
        <v>567</v>
      </c>
      <c r="H22" s="259">
        <f t="shared" si="0"/>
        <v>340.2</v>
      </c>
      <c r="I22" s="259">
        <f t="shared" si="1"/>
        <v>226.8</v>
      </c>
    </row>
    <row r="23" spans="1:9" s="56" customFormat="1" ht="21.75" customHeight="1">
      <c r="A23" s="55">
        <v>10</v>
      </c>
      <c r="B23" s="248" t="s">
        <v>337</v>
      </c>
      <c r="C23" s="249"/>
      <c r="D23" s="247">
        <v>360</v>
      </c>
      <c r="E23" s="247">
        <v>120</v>
      </c>
      <c r="F23" s="123">
        <v>9</v>
      </c>
      <c r="G23" s="259">
        <v>389</v>
      </c>
      <c r="H23" s="259">
        <f t="shared" si="0"/>
        <v>233.39999999999998</v>
      </c>
      <c r="I23" s="259">
        <f t="shared" si="1"/>
        <v>155.60000000000002</v>
      </c>
    </row>
    <row r="24" spans="1:9" s="56" customFormat="1" ht="21.75" customHeight="1">
      <c r="A24" s="4">
        <v>11</v>
      </c>
      <c r="B24" s="248" t="s">
        <v>338</v>
      </c>
      <c r="C24" s="249"/>
      <c r="D24" s="247">
        <v>330</v>
      </c>
      <c r="E24" s="247">
        <v>120</v>
      </c>
      <c r="F24" s="123">
        <v>9</v>
      </c>
      <c r="G24" s="259">
        <v>357</v>
      </c>
      <c r="H24" s="259">
        <f t="shared" si="0"/>
        <v>214.2</v>
      </c>
      <c r="I24" s="259">
        <f t="shared" si="1"/>
        <v>142.8</v>
      </c>
    </row>
    <row r="25" spans="1:9" s="56" customFormat="1" ht="21.75" customHeight="1">
      <c r="A25" s="55">
        <v>12</v>
      </c>
      <c r="B25" s="248" t="s">
        <v>244</v>
      </c>
      <c r="C25" s="249"/>
      <c r="D25" s="247">
        <v>460</v>
      </c>
      <c r="E25" s="247">
        <v>120</v>
      </c>
      <c r="F25" s="123">
        <v>9</v>
      </c>
      <c r="G25" s="259">
        <v>497</v>
      </c>
      <c r="H25" s="259">
        <f t="shared" si="0"/>
        <v>298.2</v>
      </c>
      <c r="I25" s="259">
        <f t="shared" si="1"/>
        <v>198.8</v>
      </c>
    </row>
    <row r="26" spans="1:9" s="56" customFormat="1" ht="21.75" customHeight="1">
      <c r="A26" s="4">
        <v>13</v>
      </c>
      <c r="B26" s="248" t="s">
        <v>245</v>
      </c>
      <c r="C26" s="249"/>
      <c r="D26" s="247">
        <v>193</v>
      </c>
      <c r="E26" s="247">
        <v>120</v>
      </c>
      <c r="F26" s="123">
        <v>9</v>
      </c>
      <c r="G26" s="259">
        <v>208</v>
      </c>
      <c r="H26" s="259">
        <f t="shared" si="0"/>
        <v>124.8</v>
      </c>
      <c r="I26" s="259">
        <f t="shared" si="1"/>
        <v>83.2</v>
      </c>
    </row>
    <row r="27" spans="1:9" s="56" customFormat="1" ht="21.75" customHeight="1">
      <c r="A27" s="55">
        <v>14</v>
      </c>
      <c r="B27" s="248" t="s">
        <v>246</v>
      </c>
      <c r="C27" s="249"/>
      <c r="D27" s="247">
        <v>495</v>
      </c>
      <c r="E27" s="247">
        <v>120</v>
      </c>
      <c r="F27" s="123">
        <v>9</v>
      </c>
      <c r="G27" s="259">
        <v>535</v>
      </c>
      <c r="H27" s="259">
        <f t="shared" si="0"/>
        <v>321</v>
      </c>
      <c r="I27" s="259">
        <f t="shared" si="1"/>
        <v>214</v>
      </c>
    </row>
    <row r="28" spans="1:9" s="56" customFormat="1" ht="21.75" customHeight="1">
      <c r="A28" s="4">
        <v>15</v>
      </c>
      <c r="B28" s="248" t="s">
        <v>247</v>
      </c>
      <c r="C28" s="249"/>
      <c r="D28" s="247">
        <v>275</v>
      </c>
      <c r="E28" s="247">
        <v>120</v>
      </c>
      <c r="F28" s="123">
        <v>9</v>
      </c>
      <c r="G28" s="259">
        <v>297</v>
      </c>
      <c r="H28" s="259">
        <f t="shared" si="0"/>
        <v>178.2</v>
      </c>
      <c r="I28" s="259">
        <f t="shared" si="1"/>
        <v>118.80000000000001</v>
      </c>
    </row>
    <row r="29" spans="1:9" s="56" customFormat="1" ht="21.75" customHeight="1">
      <c r="A29" s="55">
        <v>16</v>
      </c>
      <c r="B29" s="248" t="s">
        <v>343</v>
      </c>
      <c r="C29" s="249"/>
      <c r="D29" s="247">
        <v>310</v>
      </c>
      <c r="E29" s="247">
        <v>90</v>
      </c>
      <c r="F29" s="123">
        <v>9</v>
      </c>
      <c r="G29" s="259">
        <v>251</v>
      </c>
      <c r="H29" s="259">
        <f t="shared" si="0"/>
        <v>150.6</v>
      </c>
      <c r="I29" s="259">
        <f t="shared" si="1"/>
        <v>100.4</v>
      </c>
    </row>
    <row r="30" spans="1:9" s="56" customFormat="1" ht="21.75" customHeight="1">
      <c r="A30" s="4">
        <v>17</v>
      </c>
      <c r="B30" s="248" t="s">
        <v>248</v>
      </c>
      <c r="C30" s="249"/>
      <c r="D30" s="247">
        <v>270</v>
      </c>
      <c r="E30" s="254">
        <v>90</v>
      </c>
      <c r="F30" s="123">
        <v>9</v>
      </c>
      <c r="G30" s="259">
        <v>218</v>
      </c>
      <c r="H30" s="259">
        <f t="shared" si="0"/>
        <v>130.79999999999998</v>
      </c>
      <c r="I30" s="259">
        <f t="shared" si="1"/>
        <v>87.20000000000002</v>
      </c>
    </row>
    <row r="31" spans="1:9" s="56" customFormat="1" ht="21.75" customHeight="1">
      <c r="A31" s="5" t="s">
        <v>262</v>
      </c>
      <c r="B31" s="57" t="s">
        <v>365</v>
      </c>
      <c r="C31" s="127">
        <f aca="true" t="shared" si="2" ref="C31:I31">SUM(C32:C41)</f>
        <v>0</v>
      </c>
      <c r="D31" s="127">
        <f t="shared" si="2"/>
        <v>8707</v>
      </c>
      <c r="E31" s="127">
        <f t="shared" si="2"/>
        <v>625</v>
      </c>
      <c r="F31" s="127">
        <f t="shared" si="2"/>
        <v>90</v>
      </c>
      <c r="G31" s="363">
        <f t="shared" si="2"/>
        <v>5189</v>
      </c>
      <c r="H31" s="363">
        <f t="shared" si="2"/>
        <v>3113.3999999999996</v>
      </c>
      <c r="I31" s="363">
        <f t="shared" si="2"/>
        <v>2075.6000000000004</v>
      </c>
    </row>
    <row r="32" spans="1:9" s="56" customFormat="1" ht="21.75" customHeight="1">
      <c r="A32" s="55">
        <v>1</v>
      </c>
      <c r="B32" s="248" t="s">
        <v>366</v>
      </c>
      <c r="C32" s="255"/>
      <c r="D32" s="247">
        <v>591</v>
      </c>
      <c r="E32" s="247">
        <v>20</v>
      </c>
      <c r="F32" s="247">
        <v>9</v>
      </c>
      <c r="G32" s="259">
        <v>107</v>
      </c>
      <c r="H32" s="259">
        <f t="shared" si="0"/>
        <v>64.2</v>
      </c>
      <c r="I32" s="259">
        <f t="shared" si="1"/>
        <v>42.8</v>
      </c>
    </row>
    <row r="33" spans="1:9" s="56" customFormat="1" ht="21.75" customHeight="1">
      <c r="A33" s="55">
        <v>2</v>
      </c>
      <c r="B33" s="248" t="s">
        <v>367</v>
      </c>
      <c r="C33" s="249"/>
      <c r="D33" s="247">
        <v>508</v>
      </c>
      <c r="E33" s="247">
        <v>60</v>
      </c>
      <c r="F33" s="247">
        <v>9</v>
      </c>
      <c r="G33" s="259">
        <v>275</v>
      </c>
      <c r="H33" s="259">
        <f t="shared" si="0"/>
        <v>165</v>
      </c>
      <c r="I33" s="259">
        <f t="shared" si="1"/>
        <v>110</v>
      </c>
    </row>
    <row r="34" spans="1:9" s="56" customFormat="1" ht="21.75" customHeight="1">
      <c r="A34" s="55">
        <v>3</v>
      </c>
      <c r="B34" s="248" t="s">
        <v>368</v>
      </c>
      <c r="C34" s="249"/>
      <c r="D34" s="247">
        <v>1271</v>
      </c>
      <c r="E34" s="247">
        <v>75</v>
      </c>
      <c r="F34" s="247">
        <v>9</v>
      </c>
      <c r="G34" s="259">
        <v>858</v>
      </c>
      <c r="H34" s="259">
        <f t="shared" si="0"/>
        <v>514.8</v>
      </c>
      <c r="I34" s="259">
        <f t="shared" si="1"/>
        <v>343.20000000000005</v>
      </c>
    </row>
    <row r="35" spans="1:9" s="56" customFormat="1" ht="21.75" customHeight="1">
      <c r="A35" s="55">
        <v>4</v>
      </c>
      <c r="B35" s="248" t="s">
        <v>369</v>
      </c>
      <c r="C35" s="249"/>
      <c r="D35" s="247">
        <v>1052</v>
      </c>
      <c r="E35" s="247">
        <v>75</v>
      </c>
      <c r="F35" s="247">
        <v>9</v>
      </c>
      <c r="G35" s="259">
        <v>710</v>
      </c>
      <c r="H35" s="259">
        <f t="shared" si="0"/>
        <v>426</v>
      </c>
      <c r="I35" s="259">
        <f t="shared" si="1"/>
        <v>284</v>
      </c>
    </row>
    <row r="36" spans="1:9" s="56" customFormat="1" ht="21.75" customHeight="1">
      <c r="A36" s="55">
        <v>5</v>
      </c>
      <c r="B36" s="248" t="s">
        <v>370</v>
      </c>
      <c r="C36" s="249"/>
      <c r="D36" s="247">
        <v>1303</v>
      </c>
      <c r="E36" s="247">
        <v>75</v>
      </c>
      <c r="F36" s="247">
        <v>9</v>
      </c>
      <c r="G36" s="259">
        <v>880</v>
      </c>
      <c r="H36" s="259">
        <f t="shared" si="0"/>
        <v>528</v>
      </c>
      <c r="I36" s="259">
        <f t="shared" si="1"/>
        <v>352</v>
      </c>
    </row>
    <row r="37" spans="1:9" s="56" customFormat="1" ht="21.75" customHeight="1">
      <c r="A37" s="55">
        <v>6</v>
      </c>
      <c r="B37" s="248" t="s">
        <v>371</v>
      </c>
      <c r="C37" s="249"/>
      <c r="D37" s="247">
        <v>538</v>
      </c>
      <c r="E37" s="247">
        <v>75</v>
      </c>
      <c r="F37" s="247">
        <v>9</v>
      </c>
      <c r="G37" s="259">
        <v>363</v>
      </c>
      <c r="H37" s="259">
        <f t="shared" si="0"/>
        <v>217.79999999999998</v>
      </c>
      <c r="I37" s="259">
        <f t="shared" si="1"/>
        <v>145.20000000000002</v>
      </c>
    </row>
    <row r="38" spans="1:9" s="56" customFormat="1" ht="21.75" customHeight="1">
      <c r="A38" s="55">
        <v>7</v>
      </c>
      <c r="B38" s="248" t="s">
        <v>372</v>
      </c>
      <c r="C38" s="249"/>
      <c r="D38" s="247">
        <v>665</v>
      </c>
      <c r="E38" s="254">
        <v>20</v>
      </c>
      <c r="F38" s="247">
        <v>9</v>
      </c>
      <c r="G38" s="259">
        <v>120</v>
      </c>
      <c r="H38" s="259">
        <f t="shared" si="0"/>
        <v>72</v>
      </c>
      <c r="I38" s="259">
        <f t="shared" si="1"/>
        <v>48</v>
      </c>
    </row>
    <row r="39" spans="1:9" s="56" customFormat="1" ht="21.75" customHeight="1">
      <c r="A39" s="55">
        <v>8</v>
      </c>
      <c r="B39" s="248" t="s">
        <v>373</v>
      </c>
      <c r="C39" s="249"/>
      <c r="D39" s="247">
        <v>633</v>
      </c>
      <c r="E39" s="247">
        <v>75</v>
      </c>
      <c r="F39" s="247">
        <v>9</v>
      </c>
      <c r="G39" s="259">
        <v>427</v>
      </c>
      <c r="H39" s="259">
        <f t="shared" si="0"/>
        <v>256.2</v>
      </c>
      <c r="I39" s="259">
        <f t="shared" si="1"/>
        <v>170.8</v>
      </c>
    </row>
    <row r="40" spans="1:9" s="56" customFormat="1" ht="21.75" customHeight="1">
      <c r="A40" s="55">
        <v>9</v>
      </c>
      <c r="B40" s="248" t="s">
        <v>374</v>
      </c>
      <c r="C40" s="249"/>
      <c r="D40" s="247">
        <v>1581</v>
      </c>
      <c r="E40" s="247">
        <v>75</v>
      </c>
      <c r="F40" s="247">
        <v>9</v>
      </c>
      <c r="G40" s="259">
        <v>1067</v>
      </c>
      <c r="H40" s="259">
        <f t="shared" si="0"/>
        <v>640.1999999999999</v>
      </c>
      <c r="I40" s="259">
        <f t="shared" si="1"/>
        <v>426.80000000000007</v>
      </c>
    </row>
    <row r="41" spans="1:9" s="56" customFormat="1" ht="21.75" customHeight="1">
      <c r="A41" s="55">
        <v>10</v>
      </c>
      <c r="B41" s="248" t="s">
        <v>375</v>
      </c>
      <c r="C41" s="249"/>
      <c r="D41" s="247">
        <v>565</v>
      </c>
      <c r="E41" s="247">
        <v>75</v>
      </c>
      <c r="F41" s="247">
        <v>9</v>
      </c>
      <c r="G41" s="259">
        <v>382</v>
      </c>
      <c r="H41" s="259">
        <f t="shared" si="0"/>
        <v>229.2</v>
      </c>
      <c r="I41" s="259">
        <f t="shared" si="1"/>
        <v>152.8</v>
      </c>
    </row>
    <row r="42" spans="1:9" s="42" customFormat="1" ht="21.75" customHeight="1">
      <c r="A42" s="5" t="s">
        <v>296</v>
      </c>
      <c r="B42" s="52" t="s">
        <v>573</v>
      </c>
      <c r="C42" s="257"/>
      <c r="D42" s="257">
        <f aca="true" t="shared" si="3" ref="D42:I42">D43</f>
        <v>200</v>
      </c>
      <c r="E42" s="257">
        <f t="shared" si="3"/>
        <v>120</v>
      </c>
      <c r="F42" s="258">
        <f t="shared" si="3"/>
        <v>9</v>
      </c>
      <c r="G42" s="364">
        <f t="shared" si="3"/>
        <v>216</v>
      </c>
      <c r="H42" s="364">
        <f t="shared" si="3"/>
        <v>129.6</v>
      </c>
      <c r="I42" s="364">
        <f t="shared" si="3"/>
        <v>86.4</v>
      </c>
    </row>
    <row r="43" spans="1:9" s="56" customFormat="1" ht="21.75" customHeight="1">
      <c r="A43" s="55">
        <v>1</v>
      </c>
      <c r="B43" s="70" t="s">
        <v>4</v>
      </c>
      <c r="C43" s="126"/>
      <c r="D43" s="126">
        <v>200</v>
      </c>
      <c r="E43" s="123">
        <v>120</v>
      </c>
      <c r="F43" s="123">
        <v>9</v>
      </c>
      <c r="G43" s="259">
        <v>216</v>
      </c>
      <c r="H43" s="365">
        <f>G43*60%</f>
        <v>129.6</v>
      </c>
      <c r="I43" s="365">
        <f>G43-H43</f>
        <v>86.4</v>
      </c>
    </row>
    <row r="44" spans="1:9" s="56" customFormat="1" ht="21.75" customHeight="1">
      <c r="A44" s="59" t="s">
        <v>299</v>
      </c>
      <c r="B44" s="60" t="s">
        <v>599</v>
      </c>
      <c r="C44" s="126"/>
      <c r="D44" s="126"/>
      <c r="E44" s="123"/>
      <c r="F44" s="123"/>
      <c r="G44" s="366">
        <f aca="true" t="shared" si="4" ref="G44:I45">G45</f>
        <v>300</v>
      </c>
      <c r="H44" s="366">
        <f t="shared" si="4"/>
        <v>180</v>
      </c>
      <c r="I44" s="366">
        <f t="shared" si="4"/>
        <v>120</v>
      </c>
    </row>
    <row r="45" spans="1:9" s="56" customFormat="1" ht="21.75" customHeight="1">
      <c r="A45" s="59" t="s">
        <v>295</v>
      </c>
      <c r="B45" s="63" t="s">
        <v>63</v>
      </c>
      <c r="C45" s="126"/>
      <c r="D45" s="126"/>
      <c r="E45" s="123"/>
      <c r="F45" s="123"/>
      <c r="G45" s="366">
        <f t="shared" si="4"/>
        <v>300</v>
      </c>
      <c r="H45" s="366">
        <f t="shared" si="4"/>
        <v>180</v>
      </c>
      <c r="I45" s="366">
        <f t="shared" si="4"/>
        <v>120</v>
      </c>
    </row>
    <row r="46" spans="1:9" s="56" customFormat="1" ht="44.25" customHeight="1">
      <c r="A46" s="64">
        <v>1</v>
      </c>
      <c r="B46" s="65" t="s">
        <v>645</v>
      </c>
      <c r="C46" s="126"/>
      <c r="D46" s="126"/>
      <c r="E46" s="123"/>
      <c r="F46" s="123"/>
      <c r="G46" s="365">
        <v>300</v>
      </c>
      <c r="H46" s="365">
        <f>G46*60%</f>
        <v>180</v>
      </c>
      <c r="I46" s="365">
        <f>G46-H46</f>
        <v>120</v>
      </c>
    </row>
  </sheetData>
  <sheetProtection/>
  <mergeCells count="8">
    <mergeCell ref="A4:I4"/>
    <mergeCell ref="A5:I5"/>
    <mergeCell ref="A6:I6"/>
    <mergeCell ref="H8:I8"/>
    <mergeCell ref="A8:A9"/>
    <mergeCell ref="B8:B9"/>
    <mergeCell ref="G8:G9"/>
    <mergeCell ref="H7:I7"/>
  </mergeCells>
  <printOptions/>
  <pageMargins left="0.3937007874015748" right="0.3937007874015748" top="0.5511811023622047" bottom="0.1968503937007874" header="0.15748031496062992" footer="0.1574803149606299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G44"/>
  <sheetViews>
    <sheetView zoomScalePageLayoutView="0" workbookViewId="0" topLeftCell="A1">
      <selection activeCell="A6" sqref="A6:G6"/>
    </sheetView>
  </sheetViews>
  <sheetFormatPr defaultColWidth="15.7109375" defaultRowHeight="12.75"/>
  <cols>
    <col min="1" max="1" width="5.28125" style="264" customWidth="1"/>
    <col min="2" max="2" width="45.140625" style="262" customWidth="1"/>
    <col min="3" max="3" width="10.8515625" style="264" customWidth="1"/>
    <col min="4" max="4" width="10.421875" style="262" customWidth="1"/>
    <col min="5" max="5" width="13.00390625" style="262" customWidth="1"/>
    <col min="6" max="6" width="12.421875" style="262" customWidth="1"/>
    <col min="7" max="7" width="10.421875" style="262" customWidth="1"/>
    <col min="8" max="16384" width="15.7109375" style="262" customWidth="1"/>
  </cols>
  <sheetData>
    <row r="1" spans="1:3" ht="18.75">
      <c r="A1" s="261" t="s">
        <v>726</v>
      </c>
      <c r="B1" s="46"/>
      <c r="C1" s="244"/>
    </row>
    <row r="2" spans="1:3" ht="18.75">
      <c r="A2" s="261" t="s">
        <v>64</v>
      </c>
      <c r="B2" s="45"/>
      <c r="C2" s="244"/>
    </row>
    <row r="3" spans="1:3" ht="9.75" customHeight="1">
      <c r="A3" s="263"/>
      <c r="B3" s="45"/>
      <c r="C3" s="244"/>
    </row>
    <row r="4" spans="1:7" ht="18" customHeight="1">
      <c r="A4" s="897" t="s">
        <v>485</v>
      </c>
      <c r="B4" s="897"/>
      <c r="C4" s="897"/>
      <c r="D4" s="897"/>
      <c r="E4" s="897"/>
      <c r="F4" s="897"/>
      <c r="G4" s="897"/>
    </row>
    <row r="5" spans="1:7" ht="21" customHeight="1">
      <c r="A5" s="897" t="s">
        <v>875</v>
      </c>
      <c r="B5" s="897"/>
      <c r="C5" s="897"/>
      <c r="D5" s="897"/>
      <c r="E5" s="897"/>
      <c r="F5" s="897"/>
      <c r="G5" s="897"/>
    </row>
    <row r="6" spans="1:7" ht="19.5" customHeight="1">
      <c r="A6" s="1045" t="s">
        <v>888</v>
      </c>
      <c r="B6" s="1045"/>
      <c r="C6" s="1045"/>
      <c r="D6" s="1045"/>
      <c r="E6" s="1045"/>
      <c r="F6" s="1045"/>
      <c r="G6" s="1045"/>
    </row>
    <row r="7" spans="6:7" ht="21" customHeight="1">
      <c r="F7" s="1065" t="s">
        <v>292</v>
      </c>
      <c r="G7" s="1065"/>
    </row>
    <row r="8" spans="1:7" ht="30.75" customHeight="1">
      <c r="A8" s="1066" t="s">
        <v>293</v>
      </c>
      <c r="B8" s="1066" t="s">
        <v>228</v>
      </c>
      <c r="C8" s="1068" t="s">
        <v>793</v>
      </c>
      <c r="D8" s="1068" t="s">
        <v>229</v>
      </c>
      <c r="E8" s="1068" t="s">
        <v>78</v>
      </c>
      <c r="F8" s="1061" t="s">
        <v>235</v>
      </c>
      <c r="G8" s="1061" t="s">
        <v>236</v>
      </c>
    </row>
    <row r="9" spans="1:7" ht="29.25" customHeight="1">
      <c r="A9" s="1067"/>
      <c r="B9" s="1067"/>
      <c r="C9" s="1069"/>
      <c r="D9" s="1069"/>
      <c r="E9" s="1069"/>
      <c r="F9" s="1061"/>
      <c r="G9" s="1061"/>
    </row>
    <row r="10" spans="1:7" ht="27" customHeight="1">
      <c r="A10" s="1063" t="s">
        <v>327</v>
      </c>
      <c r="B10" s="1064"/>
      <c r="C10" s="10">
        <f>C11+C22+C26+C31+C34+C38</f>
        <v>1685</v>
      </c>
      <c r="D10" s="10">
        <f>D11+D22+D26+D31+D34+D38</f>
        <v>478.7</v>
      </c>
      <c r="E10" s="10">
        <f>E11+E22+E26+E31+E34+E38</f>
        <v>1205.8</v>
      </c>
      <c r="F10" s="10">
        <f>F11+F22+F26+F31+F34+F38</f>
        <v>721.48</v>
      </c>
      <c r="G10" s="10">
        <f>G11+G22+G26+G31+G34+G38</f>
        <v>481.32</v>
      </c>
    </row>
    <row r="11" spans="1:7" ht="24.75" customHeight="1">
      <c r="A11" s="61" t="s">
        <v>295</v>
      </c>
      <c r="B11" s="58" t="s">
        <v>365</v>
      </c>
      <c r="C11" s="265">
        <f>SUM(C12:C21)</f>
        <v>165</v>
      </c>
      <c r="D11" s="265">
        <f>SUM(D12:D21)</f>
        <v>16</v>
      </c>
      <c r="E11" s="265">
        <f>SUM(E12:E21)</f>
        <v>149</v>
      </c>
      <c r="F11" s="265">
        <f>SUM(F12:F21)</f>
        <v>89.4</v>
      </c>
      <c r="G11" s="265">
        <f>SUM(G12:G21)</f>
        <v>59.599999999999994</v>
      </c>
    </row>
    <row r="12" spans="1:7" ht="24.75" customHeight="1">
      <c r="A12" s="69">
        <v>1</v>
      </c>
      <c r="B12" s="260" t="s">
        <v>366</v>
      </c>
      <c r="C12" s="259">
        <v>20</v>
      </c>
      <c r="D12" s="266">
        <v>2</v>
      </c>
      <c r="E12" s="266">
        <f>C12-D12</f>
        <v>18</v>
      </c>
      <c r="F12" s="267">
        <f>E12*60%</f>
        <v>10.799999999999999</v>
      </c>
      <c r="G12" s="268">
        <f>E12-F12</f>
        <v>7.200000000000001</v>
      </c>
    </row>
    <row r="13" spans="1:7" ht="24.75" customHeight="1">
      <c r="A13" s="69">
        <v>2</v>
      </c>
      <c r="B13" s="260" t="s">
        <v>367</v>
      </c>
      <c r="C13" s="259">
        <v>6</v>
      </c>
      <c r="D13" s="266">
        <v>1</v>
      </c>
      <c r="E13" s="266">
        <f aca="true" t="shared" si="0" ref="E13:E21">C13-D13</f>
        <v>5</v>
      </c>
      <c r="F13" s="267">
        <f aca="true" t="shared" si="1" ref="F13:F21">E13*60%</f>
        <v>3</v>
      </c>
      <c r="G13" s="268">
        <f aca="true" t="shared" si="2" ref="G13:G21">E13-F13</f>
        <v>2</v>
      </c>
    </row>
    <row r="14" spans="1:7" ht="24.75" customHeight="1">
      <c r="A14" s="69">
        <v>3</v>
      </c>
      <c r="B14" s="260" t="s">
        <v>368</v>
      </c>
      <c r="C14" s="259">
        <v>30</v>
      </c>
      <c r="D14" s="266">
        <v>3</v>
      </c>
      <c r="E14" s="266">
        <f t="shared" si="0"/>
        <v>27</v>
      </c>
      <c r="F14" s="267">
        <f t="shared" si="1"/>
        <v>16.2</v>
      </c>
      <c r="G14" s="268">
        <f t="shared" si="2"/>
        <v>10.8</v>
      </c>
    </row>
    <row r="15" spans="1:7" ht="24.75" customHeight="1">
      <c r="A15" s="69">
        <v>4</v>
      </c>
      <c r="B15" s="260" t="s">
        <v>369</v>
      </c>
      <c r="C15" s="259">
        <v>13</v>
      </c>
      <c r="D15" s="266">
        <v>1</v>
      </c>
      <c r="E15" s="266">
        <f t="shared" si="0"/>
        <v>12</v>
      </c>
      <c r="F15" s="267">
        <f t="shared" si="1"/>
        <v>7.199999999999999</v>
      </c>
      <c r="G15" s="268">
        <f t="shared" si="2"/>
        <v>4.800000000000001</v>
      </c>
    </row>
    <row r="16" spans="1:7" ht="24.75" customHeight="1">
      <c r="A16" s="69">
        <v>5</v>
      </c>
      <c r="B16" s="260" t="s">
        <v>370</v>
      </c>
      <c r="C16" s="259">
        <v>20</v>
      </c>
      <c r="D16" s="266">
        <v>2</v>
      </c>
      <c r="E16" s="266">
        <f t="shared" si="0"/>
        <v>18</v>
      </c>
      <c r="F16" s="267">
        <f t="shared" si="1"/>
        <v>10.799999999999999</v>
      </c>
      <c r="G16" s="268">
        <f t="shared" si="2"/>
        <v>7.200000000000001</v>
      </c>
    </row>
    <row r="17" spans="1:7" ht="24.75" customHeight="1">
      <c r="A17" s="69">
        <v>6</v>
      </c>
      <c r="B17" s="260" t="s">
        <v>371</v>
      </c>
      <c r="C17" s="259">
        <v>9</v>
      </c>
      <c r="D17" s="266">
        <v>1</v>
      </c>
      <c r="E17" s="266">
        <f t="shared" si="0"/>
        <v>8</v>
      </c>
      <c r="F17" s="267">
        <f t="shared" si="1"/>
        <v>4.8</v>
      </c>
      <c r="G17" s="268">
        <f t="shared" si="2"/>
        <v>3.2</v>
      </c>
    </row>
    <row r="18" spans="1:7" ht="24.75" customHeight="1">
      <c r="A18" s="69">
        <v>7</v>
      </c>
      <c r="B18" s="260" t="s">
        <v>372</v>
      </c>
      <c r="C18" s="259">
        <v>12</v>
      </c>
      <c r="D18" s="266">
        <v>1</v>
      </c>
      <c r="E18" s="266">
        <f t="shared" si="0"/>
        <v>11</v>
      </c>
      <c r="F18" s="267">
        <f t="shared" si="1"/>
        <v>6.6</v>
      </c>
      <c r="G18" s="268">
        <f t="shared" si="2"/>
        <v>4.4</v>
      </c>
    </row>
    <row r="19" spans="1:7" ht="24.75" customHeight="1">
      <c r="A19" s="69">
        <v>8</v>
      </c>
      <c r="B19" s="260" t="s">
        <v>373</v>
      </c>
      <c r="C19" s="259">
        <v>8</v>
      </c>
      <c r="D19" s="266">
        <v>1</v>
      </c>
      <c r="E19" s="266">
        <f t="shared" si="0"/>
        <v>7</v>
      </c>
      <c r="F19" s="267">
        <f t="shared" si="1"/>
        <v>4.2</v>
      </c>
      <c r="G19" s="268">
        <f t="shared" si="2"/>
        <v>2.8</v>
      </c>
    </row>
    <row r="20" spans="1:7" ht="24.75" customHeight="1">
      <c r="A20" s="69">
        <v>9</v>
      </c>
      <c r="B20" s="260" t="s">
        <v>374</v>
      </c>
      <c r="C20" s="259">
        <v>34</v>
      </c>
      <c r="D20" s="266">
        <v>3</v>
      </c>
      <c r="E20" s="266">
        <f t="shared" si="0"/>
        <v>31</v>
      </c>
      <c r="F20" s="267">
        <f t="shared" si="1"/>
        <v>18.599999999999998</v>
      </c>
      <c r="G20" s="268">
        <f t="shared" si="2"/>
        <v>12.400000000000002</v>
      </c>
    </row>
    <row r="21" spans="1:7" ht="24.75" customHeight="1">
      <c r="A21" s="69">
        <v>10</v>
      </c>
      <c r="B21" s="260" t="s">
        <v>375</v>
      </c>
      <c r="C21" s="259">
        <v>13</v>
      </c>
      <c r="D21" s="266">
        <v>1</v>
      </c>
      <c r="E21" s="266">
        <f t="shared" si="0"/>
        <v>12</v>
      </c>
      <c r="F21" s="267">
        <f t="shared" si="1"/>
        <v>7.199999999999999</v>
      </c>
      <c r="G21" s="268">
        <f t="shared" si="2"/>
        <v>4.800000000000001</v>
      </c>
    </row>
    <row r="22" spans="1:7" ht="24.75" customHeight="1">
      <c r="A22" s="61" t="s">
        <v>296</v>
      </c>
      <c r="B22" s="58" t="s">
        <v>573</v>
      </c>
      <c r="C22" s="265">
        <f>C23</f>
        <v>48</v>
      </c>
      <c r="D22" s="265">
        <f>D23</f>
        <v>4.5</v>
      </c>
      <c r="E22" s="265">
        <f>E23</f>
        <v>43</v>
      </c>
      <c r="F22" s="265">
        <f>F23</f>
        <v>24</v>
      </c>
      <c r="G22" s="265">
        <f>G23</f>
        <v>16</v>
      </c>
    </row>
    <row r="23" spans="1:7" ht="34.5" customHeight="1">
      <c r="A23" s="69">
        <v>1</v>
      </c>
      <c r="B23" s="70" t="s">
        <v>792</v>
      </c>
      <c r="C23" s="259">
        <f>C24+C25</f>
        <v>48</v>
      </c>
      <c r="D23" s="259">
        <f>D24+D25</f>
        <v>4.5</v>
      </c>
      <c r="E23" s="259">
        <f>E24+E25</f>
        <v>43</v>
      </c>
      <c r="F23" s="259">
        <f>F24+F25</f>
        <v>24</v>
      </c>
      <c r="G23" s="259">
        <f>G24+G25</f>
        <v>16</v>
      </c>
    </row>
    <row r="24" spans="1:7" ht="24.75" customHeight="1">
      <c r="A24" s="69"/>
      <c r="B24" s="65" t="s">
        <v>705</v>
      </c>
      <c r="C24" s="259">
        <v>45</v>
      </c>
      <c r="D24" s="266">
        <f>C24*10%</f>
        <v>4.5</v>
      </c>
      <c r="E24" s="266">
        <v>40</v>
      </c>
      <c r="F24" s="256">
        <v>24</v>
      </c>
      <c r="G24" s="268">
        <v>16</v>
      </c>
    </row>
    <row r="25" spans="1:7" ht="24.75" customHeight="1">
      <c r="A25" s="69"/>
      <c r="B25" s="62" t="s">
        <v>574</v>
      </c>
      <c r="C25" s="259">
        <v>3</v>
      </c>
      <c r="D25" s="266">
        <v>0</v>
      </c>
      <c r="E25" s="266">
        <v>3</v>
      </c>
      <c r="F25" s="256">
        <v>0</v>
      </c>
      <c r="G25" s="268">
        <v>0</v>
      </c>
    </row>
    <row r="26" spans="1:7" ht="42" customHeight="1">
      <c r="A26" s="71" t="s">
        <v>297</v>
      </c>
      <c r="B26" s="63" t="s">
        <v>35</v>
      </c>
      <c r="C26" s="72">
        <f>C27</f>
        <v>400</v>
      </c>
      <c r="D26" s="72">
        <f>D27</f>
        <v>0</v>
      </c>
      <c r="E26" s="72">
        <f>E27</f>
        <v>400</v>
      </c>
      <c r="F26" s="72">
        <f>F27</f>
        <v>240</v>
      </c>
      <c r="G26" s="72">
        <f>G27</f>
        <v>160</v>
      </c>
    </row>
    <row r="27" spans="1:7" ht="35.25" customHeight="1">
      <c r="A27" s="12">
        <v>1</v>
      </c>
      <c r="B27" s="73" t="s">
        <v>645</v>
      </c>
      <c r="C27" s="72">
        <f>C28+C29+C30</f>
        <v>400</v>
      </c>
      <c r="D27" s="72">
        <f>D28+D29+D30</f>
        <v>0</v>
      </c>
      <c r="E27" s="72">
        <f>E28+E29+E30</f>
        <v>400</v>
      </c>
      <c r="F27" s="72">
        <f>F28+F29+F30</f>
        <v>240</v>
      </c>
      <c r="G27" s="72">
        <f>G28+G29+G30</f>
        <v>160</v>
      </c>
    </row>
    <row r="28" spans="1:7" ht="24.75" customHeight="1">
      <c r="A28" s="74"/>
      <c r="B28" s="65" t="s">
        <v>222</v>
      </c>
      <c r="C28" s="75">
        <v>400</v>
      </c>
      <c r="D28" s="75">
        <v>0</v>
      </c>
      <c r="E28" s="75">
        <f>C28-D28</f>
        <v>400</v>
      </c>
      <c r="F28" s="256">
        <f>E28*60%</f>
        <v>240</v>
      </c>
      <c r="G28" s="268">
        <f>E28-F28</f>
        <v>160</v>
      </c>
    </row>
    <row r="29" spans="1:7" ht="24.75" customHeight="1" hidden="1">
      <c r="A29" s="74"/>
      <c r="B29" s="65" t="s">
        <v>6</v>
      </c>
      <c r="C29" s="75"/>
      <c r="D29" s="75">
        <f>C29*5%</f>
        <v>0</v>
      </c>
      <c r="E29" s="75">
        <f>C29-D29</f>
        <v>0</v>
      </c>
      <c r="F29" s="256"/>
      <c r="G29" s="268"/>
    </row>
    <row r="30" spans="1:7" ht="24.75" customHeight="1" hidden="1">
      <c r="A30" s="74"/>
      <c r="B30" s="76" t="s">
        <v>230</v>
      </c>
      <c r="C30" s="75"/>
      <c r="D30" s="75"/>
      <c r="E30" s="75">
        <f>C30-D30</f>
        <v>0</v>
      </c>
      <c r="F30" s="256"/>
      <c r="G30" s="256">
        <v>0</v>
      </c>
    </row>
    <row r="31" spans="1:7" ht="37.5" customHeight="1">
      <c r="A31" s="12" t="s">
        <v>298</v>
      </c>
      <c r="B31" s="63" t="s">
        <v>79</v>
      </c>
      <c r="C31" s="72">
        <f aca="true" t="shared" si="3" ref="C31:G32">C32</f>
        <v>132</v>
      </c>
      <c r="D31" s="72">
        <f t="shared" si="3"/>
        <v>13.200000000000001</v>
      </c>
      <c r="E31" s="72">
        <f t="shared" si="3"/>
        <v>118.8</v>
      </c>
      <c r="F31" s="72">
        <f t="shared" si="3"/>
        <v>71.28</v>
      </c>
      <c r="G31" s="72">
        <f t="shared" si="3"/>
        <v>47.519999999999996</v>
      </c>
    </row>
    <row r="32" spans="1:7" ht="44.25" customHeight="1">
      <c r="A32" s="12">
        <v>1</v>
      </c>
      <c r="B32" s="73" t="s">
        <v>645</v>
      </c>
      <c r="C32" s="72">
        <f t="shared" si="3"/>
        <v>132</v>
      </c>
      <c r="D32" s="72">
        <f t="shared" si="3"/>
        <v>13.200000000000001</v>
      </c>
      <c r="E32" s="72">
        <f t="shared" si="3"/>
        <v>118.8</v>
      </c>
      <c r="F32" s="72">
        <f t="shared" si="3"/>
        <v>71.28</v>
      </c>
      <c r="G32" s="72">
        <f t="shared" si="3"/>
        <v>47.519999999999996</v>
      </c>
    </row>
    <row r="33" spans="1:7" ht="24.75" customHeight="1">
      <c r="A33" s="74"/>
      <c r="B33" s="65" t="s">
        <v>221</v>
      </c>
      <c r="C33" s="75">
        <v>132</v>
      </c>
      <c r="D33" s="75">
        <f>C33*10%</f>
        <v>13.200000000000001</v>
      </c>
      <c r="E33" s="75">
        <f>C33-D33</f>
        <v>118.8</v>
      </c>
      <c r="F33" s="267">
        <f>E33*60%</f>
        <v>71.28</v>
      </c>
      <c r="G33" s="268">
        <f>E33-F33</f>
        <v>47.519999999999996</v>
      </c>
    </row>
    <row r="34" spans="1:7" ht="24.75" customHeight="1">
      <c r="A34" s="12" t="s">
        <v>405</v>
      </c>
      <c r="B34" s="63" t="s">
        <v>36</v>
      </c>
      <c r="C34" s="72">
        <f>C36+C37</f>
        <v>70</v>
      </c>
      <c r="D34" s="72">
        <f>D36+D37</f>
        <v>7</v>
      </c>
      <c r="E34" s="72">
        <f>E36+E37</f>
        <v>63</v>
      </c>
      <c r="F34" s="72">
        <f>F36+F37</f>
        <v>37.8</v>
      </c>
      <c r="G34" s="72">
        <f>G36+G37</f>
        <v>25.200000000000003</v>
      </c>
    </row>
    <row r="35" spans="1:7" ht="42.75" customHeight="1">
      <c r="A35" s="12">
        <v>1</v>
      </c>
      <c r="B35" s="73" t="s">
        <v>645</v>
      </c>
      <c r="C35" s="72">
        <f>C36+C37</f>
        <v>70</v>
      </c>
      <c r="D35" s="72">
        <f>D36+D37</f>
        <v>7</v>
      </c>
      <c r="E35" s="72">
        <f>E36+E37</f>
        <v>63</v>
      </c>
      <c r="F35" s="72">
        <f>F36+F37</f>
        <v>37.8</v>
      </c>
      <c r="G35" s="72">
        <f>G36+G37</f>
        <v>25.200000000000003</v>
      </c>
    </row>
    <row r="36" spans="1:7" ht="24.75" customHeight="1">
      <c r="A36" s="74"/>
      <c r="B36" s="65" t="s">
        <v>498</v>
      </c>
      <c r="C36" s="75">
        <v>50</v>
      </c>
      <c r="D36" s="75">
        <f>C36*10%</f>
        <v>5</v>
      </c>
      <c r="E36" s="75">
        <f>C36-D36</f>
        <v>45</v>
      </c>
      <c r="F36" s="256">
        <f>E36*60%</f>
        <v>27</v>
      </c>
      <c r="G36" s="268">
        <f>E36-F36</f>
        <v>18</v>
      </c>
    </row>
    <row r="37" spans="1:7" ht="24.75" customHeight="1">
      <c r="A37" s="74"/>
      <c r="B37" s="65" t="s">
        <v>271</v>
      </c>
      <c r="C37" s="75">
        <f>20</f>
        <v>20</v>
      </c>
      <c r="D37" s="75">
        <f>C37*10%</f>
        <v>2</v>
      </c>
      <c r="E37" s="75">
        <f>C37-D37</f>
        <v>18</v>
      </c>
      <c r="F37" s="267">
        <f>E37*60%</f>
        <v>10.799999999999999</v>
      </c>
      <c r="G37" s="268">
        <f>E37-F37</f>
        <v>7.200000000000001</v>
      </c>
    </row>
    <row r="38" spans="1:7" ht="24.75" customHeight="1">
      <c r="A38" s="51" t="s">
        <v>445</v>
      </c>
      <c r="B38" s="52" t="s">
        <v>223</v>
      </c>
      <c r="C38" s="269">
        <f>C39+C43</f>
        <v>870</v>
      </c>
      <c r="D38" s="269">
        <f>D39+D43</f>
        <v>438</v>
      </c>
      <c r="E38" s="269">
        <f>E39+E43</f>
        <v>432</v>
      </c>
      <c r="F38" s="269">
        <f>F39+F43</f>
        <v>259</v>
      </c>
      <c r="G38" s="269">
        <f>G39+G43</f>
        <v>173</v>
      </c>
    </row>
    <row r="39" spans="1:7" ht="24.75" customHeight="1">
      <c r="A39" s="51">
        <v>1</v>
      </c>
      <c r="B39" s="52" t="s">
        <v>421</v>
      </c>
      <c r="C39" s="270">
        <f>SUM(C40:C42)</f>
        <v>370</v>
      </c>
      <c r="D39" s="270">
        <f>SUM(D40:D42)</f>
        <v>63</v>
      </c>
      <c r="E39" s="270">
        <f>SUM(E40:E42)</f>
        <v>307</v>
      </c>
      <c r="F39" s="270">
        <f>SUM(F40:F42)</f>
        <v>184</v>
      </c>
      <c r="G39" s="270">
        <f>SUM(G40:G42)</f>
        <v>123</v>
      </c>
    </row>
    <row r="40" spans="1:7" ht="39" customHeight="1">
      <c r="A40" s="271"/>
      <c r="B40" s="102" t="s">
        <v>701</v>
      </c>
      <c r="C40" s="272">
        <v>30</v>
      </c>
      <c r="D40" s="256">
        <f>C40*10%</f>
        <v>3</v>
      </c>
      <c r="E40" s="256">
        <f>C40-D40</f>
        <v>27</v>
      </c>
      <c r="F40" s="256">
        <v>16</v>
      </c>
      <c r="G40" s="256">
        <f>E40-F40</f>
        <v>11</v>
      </c>
    </row>
    <row r="41" spans="1:7" ht="24.75" customHeight="1">
      <c r="A41" s="271"/>
      <c r="B41" s="102" t="s">
        <v>794</v>
      </c>
      <c r="C41" s="272">
        <v>60</v>
      </c>
      <c r="D41" s="256">
        <v>60</v>
      </c>
      <c r="E41" s="256">
        <f>C41-D41</f>
        <v>0</v>
      </c>
      <c r="F41" s="256"/>
      <c r="G41" s="256">
        <f>E41-F41</f>
        <v>0</v>
      </c>
    </row>
    <row r="42" spans="1:7" ht="24.75" customHeight="1">
      <c r="A42" s="271"/>
      <c r="B42" s="256" t="s">
        <v>702</v>
      </c>
      <c r="C42" s="272">
        <v>280</v>
      </c>
      <c r="D42" s="256">
        <v>0</v>
      </c>
      <c r="E42" s="256">
        <f>C42-D42</f>
        <v>280</v>
      </c>
      <c r="F42" s="256">
        <f>E42*60%</f>
        <v>168</v>
      </c>
      <c r="G42" s="256">
        <f>E42-F42</f>
        <v>112</v>
      </c>
    </row>
    <row r="43" spans="1:7" ht="24.75" customHeight="1">
      <c r="A43" s="51">
        <v>2</v>
      </c>
      <c r="B43" s="52" t="s">
        <v>703</v>
      </c>
      <c r="C43" s="270">
        <f>SUM(C44)</f>
        <v>500</v>
      </c>
      <c r="D43" s="270">
        <f>SUM(D44)</f>
        <v>375</v>
      </c>
      <c r="E43" s="270">
        <f>SUM(E44)</f>
        <v>125</v>
      </c>
      <c r="F43" s="270">
        <f>SUM(F44)</f>
        <v>75</v>
      </c>
      <c r="G43" s="270">
        <f>SUM(G44)</f>
        <v>50</v>
      </c>
    </row>
    <row r="44" spans="1:7" ht="24.75" customHeight="1">
      <c r="A44" s="271"/>
      <c r="B44" s="256" t="s">
        <v>704</v>
      </c>
      <c r="C44" s="272">
        <v>500</v>
      </c>
      <c r="D44" s="272">
        <f>C44*75%</f>
        <v>375</v>
      </c>
      <c r="E44" s="272">
        <f>C44-D44</f>
        <v>125</v>
      </c>
      <c r="F44" s="272">
        <f>E44*60%</f>
        <v>75</v>
      </c>
      <c r="G44" s="272">
        <f>E44-F44</f>
        <v>50</v>
      </c>
    </row>
  </sheetData>
  <sheetProtection/>
  <mergeCells count="12">
    <mergeCell ref="D8:D9"/>
    <mergeCell ref="E8:E9"/>
    <mergeCell ref="A5:G5"/>
    <mergeCell ref="A6:G6"/>
    <mergeCell ref="A4:G4"/>
    <mergeCell ref="F8:F9"/>
    <mergeCell ref="G8:G9"/>
    <mergeCell ref="A10:B10"/>
    <mergeCell ref="F7:G7"/>
    <mergeCell ref="A8:A9"/>
    <mergeCell ref="B8:B9"/>
    <mergeCell ref="C8:C9"/>
  </mergeCells>
  <printOptions/>
  <pageMargins left="0.3937007874015748" right="0.4724409448818898" top="0.3937007874015748" bottom="0.3937007874015748" header="0.5118110236220472" footer="0.35433070866141736"/>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10"/>
  </sheetPr>
  <dimension ref="A1:I56"/>
  <sheetViews>
    <sheetView zoomScale="130" zoomScaleNormal="130" zoomScalePageLayoutView="0" workbookViewId="0" topLeftCell="A1">
      <selection activeCell="A6" sqref="A6:D6"/>
    </sheetView>
  </sheetViews>
  <sheetFormatPr defaultColWidth="8.8515625" defaultRowHeight="12.75"/>
  <cols>
    <col min="1" max="1" width="6.8515625" style="459" customWidth="1"/>
    <col min="2" max="2" width="56.57421875" style="459" customWidth="1"/>
    <col min="3" max="3" width="15.421875" style="459" customWidth="1"/>
    <col min="4" max="4" width="16.28125" style="509" customWidth="1"/>
    <col min="5" max="5" width="13.7109375" style="459" hidden="1" customWidth="1"/>
    <col min="6" max="6" width="9.57421875" style="459" hidden="1" customWidth="1"/>
    <col min="7" max="7" width="24.421875" style="459" customWidth="1"/>
    <col min="8" max="8" width="10.7109375" style="459" customWidth="1"/>
    <col min="9" max="9" width="10.7109375" style="459" bestFit="1" customWidth="1"/>
    <col min="10" max="16384" width="8.8515625" style="459" customWidth="1"/>
  </cols>
  <sheetData>
    <row r="1" spans="1:6" ht="16.5">
      <c r="A1" s="16" t="s">
        <v>643</v>
      </c>
      <c r="B1" s="16"/>
      <c r="C1" s="16"/>
      <c r="D1" s="92"/>
      <c r="E1" s="16"/>
      <c r="F1" s="16"/>
    </row>
    <row r="2" spans="1:6" ht="16.5">
      <c r="A2" s="16" t="s">
        <v>64</v>
      </c>
      <c r="B2" s="16"/>
      <c r="C2" s="16"/>
      <c r="D2" s="92"/>
      <c r="E2" s="16"/>
      <c r="F2" s="16"/>
    </row>
    <row r="3" spans="1:6" ht="18.75">
      <c r="A3" s="455"/>
      <c r="B3" s="456"/>
      <c r="C3" s="457"/>
      <c r="D3" s="451"/>
      <c r="E3" s="450"/>
      <c r="F3" s="450"/>
    </row>
    <row r="4" spans="1:6" ht="20.25" customHeight="1">
      <c r="A4" s="905" t="s">
        <v>397</v>
      </c>
      <c r="B4" s="905"/>
      <c r="C4" s="905"/>
      <c r="D4" s="905"/>
      <c r="E4" s="905"/>
      <c r="F4" s="905"/>
    </row>
    <row r="5" spans="1:6" ht="23.25" customHeight="1">
      <c r="A5" s="906" t="s">
        <v>887</v>
      </c>
      <c r="B5" s="906"/>
      <c r="C5" s="906"/>
      <c r="D5" s="906"/>
      <c r="E5" s="906"/>
      <c r="F5" s="906"/>
    </row>
    <row r="6" spans="1:6" ht="19.5" customHeight="1">
      <c r="A6" s="896" t="s">
        <v>888</v>
      </c>
      <c r="B6" s="896"/>
      <c r="C6" s="896"/>
      <c r="D6" s="896"/>
      <c r="E6" s="893"/>
      <c r="F6" s="893"/>
    </row>
    <row r="7" spans="2:9" ht="18">
      <c r="B7" s="458"/>
      <c r="C7" s="904" t="s">
        <v>292</v>
      </c>
      <c r="D7" s="904"/>
      <c r="H7" s="460"/>
      <c r="I7" s="460"/>
    </row>
    <row r="8" spans="1:9" ht="63.75" customHeight="1">
      <c r="A8" s="130" t="s">
        <v>293</v>
      </c>
      <c r="B8" s="130" t="s">
        <v>398</v>
      </c>
      <c r="C8" s="130" t="s">
        <v>399</v>
      </c>
      <c r="D8" s="461" t="s">
        <v>725</v>
      </c>
      <c r="E8" s="131" t="s">
        <v>606</v>
      </c>
      <c r="F8" s="131" t="s">
        <v>225</v>
      </c>
      <c r="I8" s="847"/>
    </row>
    <row r="9" spans="1:8" ht="38.25" customHeight="1">
      <c r="A9" s="130"/>
      <c r="B9" s="462" t="s">
        <v>44</v>
      </c>
      <c r="C9" s="132">
        <f>C10+C41+C51+C53</f>
        <v>822728</v>
      </c>
      <c r="D9" s="82">
        <f>D10+D41+D51+D53</f>
        <v>844353.4000000001</v>
      </c>
      <c r="E9" s="133" t="e">
        <f>E10+E41+E51+E53</f>
        <v>#REF!</v>
      </c>
      <c r="F9" s="133">
        <f>F10+F41+F51+F53</f>
        <v>3634</v>
      </c>
      <c r="G9" s="847"/>
      <c r="H9" s="847"/>
    </row>
    <row r="10" spans="1:6" ht="19.5" customHeight="1">
      <c r="A10" s="130" t="s">
        <v>294</v>
      </c>
      <c r="B10" s="462" t="s">
        <v>505</v>
      </c>
      <c r="C10" s="848">
        <f>+C11+C22+C38</f>
        <v>675946</v>
      </c>
      <c r="D10" s="463">
        <f>D11+D22+D38</f>
        <v>677102.4000000001</v>
      </c>
      <c r="E10" s="464">
        <f>E11+E22+E38</f>
        <v>269265</v>
      </c>
      <c r="F10" s="464">
        <f>F11+F22+F38</f>
        <v>3634</v>
      </c>
    </row>
    <row r="11" spans="1:6" ht="19.5" customHeight="1">
      <c r="A11" s="130" t="s">
        <v>295</v>
      </c>
      <c r="B11" s="462" t="s">
        <v>379</v>
      </c>
      <c r="C11" s="849">
        <f>SUM(C13:C13)</f>
        <v>84719</v>
      </c>
      <c r="D11" s="850">
        <f>SUM(D13:D13)</f>
        <v>84719</v>
      </c>
      <c r="E11" s="67">
        <f>SUM(E13:E13)</f>
        <v>84719</v>
      </c>
      <c r="F11" s="67">
        <f>SUM(F13:F13)</f>
        <v>0</v>
      </c>
    </row>
    <row r="12" spans="1:8" ht="19.5" customHeight="1">
      <c r="A12" s="130"/>
      <c r="B12" s="462" t="s">
        <v>270</v>
      </c>
      <c r="C12" s="849">
        <f>SUM(C13:C13)</f>
        <v>84719</v>
      </c>
      <c r="D12" s="850">
        <f>SUM(D13:D13)</f>
        <v>84719</v>
      </c>
      <c r="E12" s="67">
        <f>SUM(E13:E13)</f>
        <v>84719</v>
      </c>
      <c r="F12" s="67">
        <f>SUM(F13:F13)</f>
        <v>0</v>
      </c>
      <c r="H12" s="847"/>
    </row>
    <row r="13" spans="1:6" ht="19.5" customHeight="1">
      <c r="A13" s="64"/>
      <c r="B13" s="471" t="s">
        <v>629</v>
      </c>
      <c r="C13" s="472">
        <v>84719</v>
      </c>
      <c r="D13" s="476">
        <f>C13</f>
        <v>84719</v>
      </c>
      <c r="E13" s="465">
        <f>D13</f>
        <v>84719</v>
      </c>
      <c r="F13" s="465"/>
    </row>
    <row r="14" spans="1:6" ht="19.5" customHeight="1">
      <c r="A14" s="130"/>
      <c r="B14" s="466" t="s">
        <v>506</v>
      </c>
      <c r="C14" s="467">
        <f>SUM(C15:C21)</f>
        <v>0</v>
      </c>
      <c r="D14" s="468">
        <v>0</v>
      </c>
      <c r="E14" s="469">
        <f>SUM(E15:E21)</f>
        <v>102751</v>
      </c>
      <c r="F14" s="470"/>
    </row>
    <row r="15" spans="1:6" ht="19.5" customHeight="1">
      <c r="A15" s="64">
        <v>1</v>
      </c>
      <c r="B15" s="471" t="s">
        <v>393</v>
      </c>
      <c r="C15" s="472"/>
      <c r="D15" s="473"/>
      <c r="E15" s="474">
        <v>39316</v>
      </c>
      <c r="F15" s="474"/>
    </row>
    <row r="16" spans="1:6" ht="19.5" customHeight="1">
      <c r="A16" s="64">
        <v>2</v>
      </c>
      <c r="B16" s="471" t="s">
        <v>400</v>
      </c>
      <c r="C16" s="472"/>
      <c r="D16" s="473">
        <v>14000</v>
      </c>
      <c r="E16" s="474">
        <v>43250</v>
      </c>
      <c r="F16" s="474"/>
    </row>
    <row r="17" spans="1:6" ht="19.5" customHeight="1">
      <c r="A17" s="64">
        <v>3</v>
      </c>
      <c r="B17" s="471" t="s">
        <v>663</v>
      </c>
      <c r="C17" s="472"/>
      <c r="D17" s="473">
        <v>4650</v>
      </c>
      <c r="E17" s="474"/>
      <c r="F17" s="474"/>
    </row>
    <row r="18" spans="1:6" ht="19.5" customHeight="1">
      <c r="A18" s="64">
        <v>4</v>
      </c>
      <c r="B18" s="471" t="s">
        <v>402</v>
      </c>
      <c r="C18" s="472"/>
      <c r="D18" s="473">
        <v>4550</v>
      </c>
      <c r="E18" s="474">
        <v>4000</v>
      </c>
      <c r="F18" s="474"/>
    </row>
    <row r="19" spans="1:6" ht="19.5" customHeight="1">
      <c r="A19" s="64">
        <v>5</v>
      </c>
      <c r="B19" s="471" t="s">
        <v>394</v>
      </c>
      <c r="C19" s="472"/>
      <c r="D19" s="473">
        <v>1800</v>
      </c>
      <c r="E19" s="474">
        <v>6900</v>
      </c>
      <c r="F19" s="474"/>
    </row>
    <row r="20" spans="1:6" ht="19.5" customHeight="1">
      <c r="A20" s="64">
        <v>6</v>
      </c>
      <c r="B20" s="471" t="s">
        <v>395</v>
      </c>
      <c r="C20" s="472"/>
      <c r="D20" s="473">
        <v>100</v>
      </c>
      <c r="E20" s="474">
        <f>1500+100</f>
        <v>1600</v>
      </c>
      <c r="F20" s="474"/>
    </row>
    <row r="21" spans="1:6" s="475" customFormat="1" ht="19.5" customHeight="1">
      <c r="A21" s="64">
        <v>7</v>
      </c>
      <c r="B21" s="471" t="s">
        <v>664</v>
      </c>
      <c r="C21" s="472"/>
      <c r="D21" s="473">
        <f>12050+47569</f>
        <v>59619</v>
      </c>
      <c r="E21" s="474">
        <v>7685</v>
      </c>
      <c r="F21" s="474"/>
    </row>
    <row r="22" spans="1:8" ht="19.5" customHeight="1">
      <c r="A22" s="130" t="s">
        <v>296</v>
      </c>
      <c r="B22" s="462" t="s">
        <v>380</v>
      </c>
      <c r="C22" s="132">
        <f>SUM(C23:C25)</f>
        <v>574727</v>
      </c>
      <c r="D22" s="132">
        <f>SUM(D23:D25)</f>
        <v>575883.4000000001</v>
      </c>
      <c r="E22" s="133">
        <f>SUM(E25:E37)</f>
        <v>171411</v>
      </c>
      <c r="F22" s="133">
        <f>SUM(F25:F37)</f>
        <v>1989</v>
      </c>
      <c r="G22" s="847"/>
      <c r="H22" s="847"/>
    </row>
    <row r="23" spans="1:8" ht="19.5" customHeight="1">
      <c r="A23" s="64">
        <v>1</v>
      </c>
      <c r="B23" s="471" t="s">
        <v>741</v>
      </c>
      <c r="C23" s="851">
        <v>33568</v>
      </c>
      <c r="D23" s="476">
        <f>'PL 03'!F15</f>
        <v>33568</v>
      </c>
      <c r="E23" s="465">
        <f>'[1]PL 03'!G30</f>
        <v>28350</v>
      </c>
      <c r="F23" s="465"/>
      <c r="G23" s="847"/>
      <c r="H23" s="847"/>
    </row>
    <row r="24" spans="1:9" ht="19.5" customHeight="1">
      <c r="A24" s="64">
        <v>2</v>
      </c>
      <c r="B24" s="471" t="s">
        <v>742</v>
      </c>
      <c r="C24" s="476">
        <v>255072</v>
      </c>
      <c r="D24" s="476">
        <f>'PL 03'!F19</f>
        <v>248794.633</v>
      </c>
      <c r="E24" s="465">
        <f>'[1]PL 03'!G48</f>
        <v>249625</v>
      </c>
      <c r="F24" s="465"/>
      <c r="G24" s="847"/>
      <c r="H24" s="847"/>
      <c r="I24" s="852"/>
    </row>
    <row r="25" spans="1:8" ht="19.5" customHeight="1">
      <c r="A25" s="64">
        <v>3</v>
      </c>
      <c r="B25" s="471" t="s">
        <v>732</v>
      </c>
      <c r="C25" s="851">
        <v>286087</v>
      </c>
      <c r="D25" s="476">
        <f>SUM(D26:D37)</f>
        <v>293520.76700000005</v>
      </c>
      <c r="E25" s="465">
        <f>'[1]PL 03'!G15</f>
        <v>50238</v>
      </c>
      <c r="F25" s="465"/>
      <c r="G25" s="847"/>
      <c r="H25" s="847"/>
    </row>
    <row r="26" spans="1:4" s="31" customFormat="1" ht="18.75">
      <c r="A26" s="477" t="s">
        <v>75</v>
      </c>
      <c r="B26" s="466" t="s">
        <v>393</v>
      </c>
      <c r="C26" s="478"/>
      <c r="D26" s="479">
        <f>'DVI SN'!AH35</f>
        <v>46528.2</v>
      </c>
    </row>
    <row r="27" spans="1:8" s="854" customFormat="1" ht="19.5" customHeight="1">
      <c r="A27" s="742" t="s">
        <v>76</v>
      </c>
      <c r="B27" s="743" t="s">
        <v>267</v>
      </c>
      <c r="C27" s="744"/>
      <c r="D27" s="745">
        <f>'PL 03'!F47</f>
        <v>3106</v>
      </c>
      <c r="E27" s="746">
        <f>'[1]PL 03'!G34</f>
        <v>4598</v>
      </c>
      <c r="F27" s="747"/>
      <c r="G27" s="853"/>
      <c r="H27" s="853"/>
    </row>
    <row r="28" spans="1:8" ht="19.5" customHeight="1">
      <c r="A28" s="477" t="s">
        <v>77</v>
      </c>
      <c r="B28" s="466" t="s">
        <v>224</v>
      </c>
      <c r="C28" s="480"/>
      <c r="D28" s="481">
        <f>'PL 03'!F58</f>
        <v>551</v>
      </c>
      <c r="E28" s="482">
        <f>'[1]PL 03'!G41</f>
        <v>923</v>
      </c>
      <c r="F28" s="465"/>
      <c r="G28" s="847"/>
      <c r="H28" s="847"/>
    </row>
    <row r="29" spans="1:8" ht="19.5" customHeight="1">
      <c r="A29" s="477" t="s">
        <v>733</v>
      </c>
      <c r="B29" s="466" t="s">
        <v>743</v>
      </c>
      <c r="C29" s="480"/>
      <c r="D29" s="481">
        <f>'PL 03'!F62</f>
        <v>1140</v>
      </c>
      <c r="E29" s="482">
        <f>'[1]PL 03'!G44</f>
        <v>1123</v>
      </c>
      <c r="F29" s="465"/>
      <c r="H29" s="847"/>
    </row>
    <row r="30" spans="1:8" ht="19.5" customHeight="1">
      <c r="A30" s="477" t="s">
        <v>734</v>
      </c>
      <c r="B30" s="466" t="s">
        <v>401</v>
      </c>
      <c r="C30" s="480"/>
      <c r="D30" s="481">
        <f>'PL 03'!F65</f>
        <v>5000</v>
      </c>
      <c r="E30" s="482">
        <f>'[1]PL 03'!G62</f>
        <v>5000</v>
      </c>
      <c r="F30" s="465"/>
      <c r="H30" s="847"/>
    </row>
    <row r="31" spans="1:8" ht="19.5" customHeight="1">
      <c r="A31" s="477" t="s">
        <v>735</v>
      </c>
      <c r="B31" s="466" t="s">
        <v>402</v>
      </c>
      <c r="C31" s="480"/>
      <c r="D31" s="481">
        <f>'PL 03'!F66</f>
        <v>45775</v>
      </c>
      <c r="E31" s="482">
        <f>'[1]PL 03'!G63</f>
        <v>47658</v>
      </c>
      <c r="F31" s="465"/>
      <c r="H31" s="847"/>
    </row>
    <row r="32" spans="1:8" ht="19.5" customHeight="1">
      <c r="A32" s="477" t="s">
        <v>736</v>
      </c>
      <c r="B32" s="466" t="s">
        <v>744</v>
      </c>
      <c r="C32" s="480"/>
      <c r="D32" s="481">
        <f>'PL 03'!F93</f>
        <v>40542</v>
      </c>
      <c r="E32" s="482">
        <f>'[1]PL 03'!G89</f>
        <v>33019</v>
      </c>
      <c r="F32" s="465"/>
      <c r="H32" s="847"/>
    </row>
    <row r="33" spans="1:8" ht="19.5" customHeight="1">
      <c r="A33" s="477" t="s">
        <v>737</v>
      </c>
      <c r="B33" s="466" t="s">
        <v>394</v>
      </c>
      <c r="C33" s="480"/>
      <c r="D33" s="481">
        <f>'PL 03'!F99</f>
        <v>9054.9</v>
      </c>
      <c r="E33" s="482">
        <f>'[1]PL 03'!G95</f>
        <v>8000</v>
      </c>
      <c r="F33" s="465"/>
      <c r="H33" s="847"/>
    </row>
    <row r="34" spans="1:8" ht="19.5" customHeight="1">
      <c r="A34" s="477" t="s">
        <v>738</v>
      </c>
      <c r="B34" s="466" t="s">
        <v>395</v>
      </c>
      <c r="C34" s="480"/>
      <c r="D34" s="481">
        <f>'PL 03'!F97</f>
        <v>1532.7</v>
      </c>
      <c r="E34" s="482">
        <f>'[1]PL 03'!G93</f>
        <v>1265</v>
      </c>
      <c r="F34" s="465"/>
      <c r="H34" s="847"/>
    </row>
    <row r="35" spans="1:8" ht="19.5" customHeight="1">
      <c r="A35" s="477" t="s">
        <v>739</v>
      </c>
      <c r="B35" s="466" t="s">
        <v>403</v>
      </c>
      <c r="C35" s="480"/>
      <c r="D35" s="481">
        <f>'PL 03'!F103</f>
        <v>111686</v>
      </c>
      <c r="E35" s="482"/>
      <c r="F35" s="465"/>
      <c r="H35" s="847"/>
    </row>
    <row r="36" spans="1:8" ht="19.5" customHeight="1">
      <c r="A36" s="477" t="s">
        <v>740</v>
      </c>
      <c r="B36" s="466" t="s">
        <v>396</v>
      </c>
      <c r="C36" s="480"/>
      <c r="D36" s="481">
        <f>'PL 03'!F104</f>
        <v>10028.5</v>
      </c>
      <c r="E36" s="482">
        <f>'[1]PL 03'!G100</f>
        <v>9698</v>
      </c>
      <c r="F36" s="465"/>
      <c r="H36" s="847"/>
    </row>
    <row r="37" spans="1:8" ht="19.5" customHeight="1">
      <c r="A37" s="477" t="s">
        <v>745</v>
      </c>
      <c r="B37" s="466" t="s">
        <v>404</v>
      </c>
      <c r="C37" s="480"/>
      <c r="D37" s="481">
        <f>'PL 03'!E10</f>
        <v>18576.466999999997</v>
      </c>
      <c r="E37" s="482">
        <f>'[1]PL 03'!F10-2231</f>
        <v>9889</v>
      </c>
      <c r="F37" s="465">
        <f>'[1]PL 03'!F98</f>
        <v>1989</v>
      </c>
      <c r="H37" s="847"/>
    </row>
    <row r="38" spans="1:6" ht="19.5" customHeight="1">
      <c r="A38" s="130" t="s">
        <v>297</v>
      </c>
      <c r="B38" s="462" t="s">
        <v>406</v>
      </c>
      <c r="C38" s="849">
        <v>16500</v>
      </c>
      <c r="D38" s="849">
        <f>SUM(D39:D40)</f>
        <v>16500</v>
      </c>
      <c r="E38" s="464">
        <f>+E39+E40</f>
        <v>13135</v>
      </c>
      <c r="F38" s="464">
        <f>+F39+F40</f>
        <v>1645</v>
      </c>
    </row>
    <row r="39" spans="1:6" ht="19.5" customHeight="1">
      <c r="A39" s="64">
        <v>1</v>
      </c>
      <c r="B39" s="65" t="s">
        <v>577</v>
      </c>
      <c r="C39" s="851"/>
      <c r="D39" s="855">
        <f>'PL 03'!D118</f>
        <v>14203</v>
      </c>
      <c r="E39" s="134">
        <v>13135</v>
      </c>
      <c r="F39" s="465"/>
    </row>
    <row r="40" spans="1:6" ht="19.5" customHeight="1">
      <c r="A40" s="64">
        <v>2</v>
      </c>
      <c r="B40" s="65" t="s">
        <v>578</v>
      </c>
      <c r="C40" s="851"/>
      <c r="D40" s="855">
        <f>'PL 03'!D119</f>
        <v>2297</v>
      </c>
      <c r="E40" s="134">
        <v>0</v>
      </c>
      <c r="F40" s="134">
        <v>1645</v>
      </c>
    </row>
    <row r="41" spans="1:6" s="856" customFormat="1" ht="40.5" customHeight="1">
      <c r="A41" s="130" t="s">
        <v>299</v>
      </c>
      <c r="B41" s="752" t="s">
        <v>608</v>
      </c>
      <c r="C41" s="849">
        <f>C42+C47</f>
        <v>146782</v>
      </c>
      <c r="D41" s="850">
        <f>D42+D47</f>
        <v>146782</v>
      </c>
      <c r="E41" s="67">
        <f>E42+E47</f>
        <v>83013</v>
      </c>
      <c r="F41" s="67">
        <f>F42+F47</f>
        <v>0</v>
      </c>
    </row>
    <row r="42" spans="1:6" s="856" customFormat="1" ht="38.25" customHeight="1">
      <c r="A42" s="130" t="s">
        <v>295</v>
      </c>
      <c r="B42" s="857" t="s">
        <v>611</v>
      </c>
      <c r="C42" s="849">
        <v>72000</v>
      </c>
      <c r="D42" s="849">
        <v>72000</v>
      </c>
      <c r="E42" s="464">
        <f>SUM(E44:E45)</f>
        <v>41800</v>
      </c>
      <c r="F42" s="464"/>
    </row>
    <row r="43" spans="1:6" ht="21.75" customHeight="1">
      <c r="A43" s="64"/>
      <c r="B43" s="483" t="s">
        <v>251</v>
      </c>
      <c r="C43" s="472"/>
      <c r="D43" s="472"/>
      <c r="E43" s="465"/>
      <c r="F43" s="465"/>
    </row>
    <row r="44" spans="1:6" ht="21.75" customHeight="1">
      <c r="A44" s="64">
        <v>1</v>
      </c>
      <c r="B44" s="471" t="s">
        <v>393</v>
      </c>
      <c r="C44" s="472"/>
      <c r="D44" s="472">
        <f>3500+2100</f>
        <v>5600</v>
      </c>
      <c r="E44" s="474">
        <f>15000</f>
        <v>15000</v>
      </c>
      <c r="F44" s="474"/>
    </row>
    <row r="45" spans="1:6" ht="39" customHeight="1">
      <c r="A45" s="64">
        <v>2</v>
      </c>
      <c r="B45" s="471" t="s">
        <v>665</v>
      </c>
      <c r="C45" s="472"/>
      <c r="D45" s="472">
        <v>3000</v>
      </c>
      <c r="E45" s="474">
        <f>21800+5000</f>
        <v>26800</v>
      </c>
      <c r="F45" s="474"/>
    </row>
    <row r="46" spans="1:6" ht="21.75" customHeight="1">
      <c r="A46" s="64">
        <v>3</v>
      </c>
      <c r="B46" s="471" t="s">
        <v>664</v>
      </c>
      <c r="C46" s="472"/>
      <c r="D46" s="472">
        <f>56200+7200</f>
        <v>63400</v>
      </c>
      <c r="E46" s="474"/>
      <c r="F46" s="474"/>
    </row>
    <row r="47" spans="1:6" s="856" customFormat="1" ht="21.75" customHeight="1">
      <c r="A47" s="130" t="s">
        <v>296</v>
      </c>
      <c r="B47" s="858" t="s">
        <v>407</v>
      </c>
      <c r="C47" s="467">
        <v>74782</v>
      </c>
      <c r="D47" s="467">
        <v>74782</v>
      </c>
      <c r="E47" s="464">
        <f>SUM(E49:E50)</f>
        <v>41213</v>
      </c>
      <c r="F47" s="464"/>
    </row>
    <row r="48" spans="1:6" ht="21.75" customHeight="1">
      <c r="A48" s="64"/>
      <c r="B48" s="483" t="s">
        <v>251</v>
      </c>
      <c r="C48" s="472"/>
      <c r="D48" s="476"/>
      <c r="E48" s="465"/>
      <c r="F48" s="465"/>
    </row>
    <row r="49" spans="1:6" ht="21.75" customHeight="1">
      <c r="A49" s="64">
        <v>1</v>
      </c>
      <c r="B49" s="471" t="s">
        <v>400</v>
      </c>
      <c r="C49" s="472"/>
      <c r="D49" s="473">
        <v>48300</v>
      </c>
      <c r="E49" s="474">
        <v>29000</v>
      </c>
      <c r="F49" s="474"/>
    </row>
    <row r="50" spans="1:6" ht="21.75" customHeight="1">
      <c r="A50" s="64">
        <v>2</v>
      </c>
      <c r="B50" s="471" t="s">
        <v>664</v>
      </c>
      <c r="C50" s="472"/>
      <c r="D50" s="473">
        <v>26482</v>
      </c>
      <c r="E50" s="474">
        <v>12213</v>
      </c>
      <c r="F50" s="474"/>
    </row>
    <row r="51" spans="1:7" ht="39.75" customHeight="1">
      <c r="A51" s="130" t="s">
        <v>364</v>
      </c>
      <c r="B51" s="63" t="s">
        <v>272</v>
      </c>
      <c r="C51" s="842"/>
      <c r="D51" s="859">
        <f>D52</f>
        <v>8319</v>
      </c>
      <c r="E51" s="135" t="e">
        <f>E52+#REF!</f>
        <v>#REF!</v>
      </c>
      <c r="F51" s="484"/>
      <c r="G51" s="860"/>
    </row>
    <row r="52" spans="1:6" ht="22.5" customHeight="1">
      <c r="A52" s="64">
        <v>1</v>
      </c>
      <c r="B52" s="802" t="s">
        <v>627</v>
      </c>
      <c r="C52" s="842"/>
      <c r="D52" s="861">
        <v>8319</v>
      </c>
      <c r="E52" s="134">
        <v>9045</v>
      </c>
      <c r="F52" s="484"/>
    </row>
    <row r="53" spans="1:6" ht="38.25" customHeight="1">
      <c r="A53" s="130" t="s">
        <v>159</v>
      </c>
      <c r="B53" s="694" t="s">
        <v>666</v>
      </c>
      <c r="C53" s="842"/>
      <c r="D53" s="859">
        <f>D54+D55</f>
        <v>12150</v>
      </c>
      <c r="E53" s="135" t="e">
        <f>E54+E55</f>
        <v>#REF!</v>
      </c>
      <c r="F53" s="484"/>
    </row>
    <row r="54" spans="1:6" ht="23.25" customHeight="1">
      <c r="A54" s="271">
        <v>1</v>
      </c>
      <c r="B54" s="76" t="s">
        <v>49</v>
      </c>
      <c r="C54" s="842"/>
      <c r="D54" s="827">
        <f>'PL 01 (THU)'!$E$52</f>
        <v>7800</v>
      </c>
      <c r="E54" s="485">
        <v>16200</v>
      </c>
      <c r="F54" s="484"/>
    </row>
    <row r="55" spans="1:6" ht="23.25" customHeight="1">
      <c r="A55" s="271">
        <v>2</v>
      </c>
      <c r="B55" s="471" t="s">
        <v>50</v>
      </c>
      <c r="C55" s="842"/>
      <c r="D55" s="862">
        <f>D56</f>
        <v>4350</v>
      </c>
      <c r="E55" s="486" t="e">
        <f>#REF!+E56</f>
        <v>#REF!</v>
      </c>
      <c r="F55" s="484"/>
    </row>
    <row r="56" spans="1:6" ht="23.25" customHeight="1">
      <c r="A56" s="256"/>
      <c r="B56" s="813" t="s">
        <v>626</v>
      </c>
      <c r="C56" s="842"/>
      <c r="D56" s="863">
        <f>'PL 01 (THU)'!$E$54</f>
        <v>4350</v>
      </c>
      <c r="E56" s="485">
        <v>2646</v>
      </c>
      <c r="F56" s="484"/>
    </row>
  </sheetData>
  <sheetProtection/>
  <mergeCells count="4">
    <mergeCell ref="C7:D7"/>
    <mergeCell ref="A4:F4"/>
    <mergeCell ref="A5:F5"/>
    <mergeCell ref="A6:D6"/>
  </mergeCells>
  <printOptions/>
  <pageMargins left="0.44" right="0.34" top="0.5" bottom="0.49" header="0.37" footer="0.34"/>
  <pageSetup horizontalDpi="600" verticalDpi="600" orientation="portrait" paperSize="9"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R136"/>
  <sheetViews>
    <sheetView zoomScale="120" zoomScaleNormal="120" zoomScalePageLayoutView="0" workbookViewId="0" topLeftCell="A1">
      <selection activeCell="A6" sqref="A6:F6"/>
    </sheetView>
  </sheetViews>
  <sheetFormatPr defaultColWidth="8.8515625" defaultRowHeight="12.75"/>
  <cols>
    <col min="1" max="1" width="6.140625" style="443" customWidth="1"/>
    <col min="2" max="2" width="51.8515625" style="444" customWidth="1"/>
    <col min="3" max="3" width="11.7109375" style="709" customWidth="1"/>
    <col min="4" max="4" width="11.7109375" style="402" customWidth="1"/>
    <col min="5" max="5" width="11.421875" style="402" customWidth="1"/>
    <col min="6" max="6" width="12.421875" style="402" customWidth="1"/>
    <col min="7" max="7" width="11.140625" style="402" hidden="1" customWidth="1"/>
    <col min="8" max="9" width="16.28125" style="402" hidden="1" customWidth="1"/>
    <col min="10" max="10" width="25.28125" style="402" hidden="1" customWidth="1"/>
    <col min="11" max="11" width="13.57421875" style="402" hidden="1" customWidth="1"/>
    <col min="12" max="12" width="13.00390625" style="402" hidden="1" customWidth="1"/>
    <col min="13" max="13" width="0" style="402" hidden="1" customWidth="1"/>
    <col min="14" max="16384" width="8.8515625" style="402" customWidth="1"/>
  </cols>
  <sheetData>
    <row r="1" spans="1:10" s="379" customFormat="1" ht="16.5">
      <c r="A1" s="375" t="s">
        <v>65</v>
      </c>
      <c r="B1" s="376"/>
      <c r="C1" s="708"/>
      <c r="D1" s="377"/>
      <c r="E1" s="377"/>
      <c r="F1" s="377"/>
      <c r="G1" s="377"/>
      <c r="H1" s="377"/>
      <c r="I1" s="377"/>
      <c r="J1" s="378"/>
    </row>
    <row r="2" spans="1:10" s="379" customFormat="1" ht="17.25" customHeight="1">
      <c r="A2" s="375" t="s">
        <v>64</v>
      </c>
      <c r="B2" s="376"/>
      <c r="C2" s="708"/>
      <c r="D2" s="377"/>
      <c r="E2" s="377"/>
      <c r="F2" s="377"/>
      <c r="G2" s="377"/>
      <c r="H2" s="377"/>
      <c r="I2" s="377"/>
      <c r="J2" s="378"/>
    </row>
    <row r="3" spans="1:10" s="379" customFormat="1" ht="13.5" customHeight="1">
      <c r="A3" s="380"/>
      <c r="B3" s="381"/>
      <c r="C3" s="709"/>
      <c r="E3" s="377"/>
      <c r="F3" s="377"/>
      <c r="G3" s="377"/>
      <c r="H3" s="377"/>
      <c r="I3" s="377"/>
      <c r="J3" s="378"/>
    </row>
    <row r="4" spans="1:10" s="379" customFormat="1" ht="18.75">
      <c r="A4" s="907" t="s">
        <v>376</v>
      </c>
      <c r="B4" s="907"/>
      <c r="C4" s="907"/>
      <c r="D4" s="907"/>
      <c r="E4" s="907"/>
      <c r="F4" s="907"/>
      <c r="G4" s="889"/>
      <c r="H4" s="889"/>
      <c r="I4" s="889"/>
      <c r="J4" s="378"/>
    </row>
    <row r="5" spans="1:10" s="379" customFormat="1" ht="21" customHeight="1">
      <c r="A5" s="907" t="s">
        <v>886</v>
      </c>
      <c r="B5" s="907"/>
      <c r="C5" s="907"/>
      <c r="D5" s="907"/>
      <c r="E5" s="907"/>
      <c r="F5" s="907"/>
      <c r="G5" s="889"/>
      <c r="H5" s="889"/>
      <c r="I5" s="889"/>
      <c r="J5" s="378"/>
    </row>
    <row r="6" spans="1:10" s="379" customFormat="1" ht="21" customHeight="1">
      <c r="A6" s="908" t="s">
        <v>888</v>
      </c>
      <c r="B6" s="908"/>
      <c r="C6" s="908"/>
      <c r="D6" s="908"/>
      <c r="E6" s="908"/>
      <c r="F6" s="908"/>
      <c r="G6" s="890"/>
      <c r="H6" s="890"/>
      <c r="I6" s="890"/>
      <c r="J6" s="378"/>
    </row>
    <row r="7" spans="1:10" s="379" customFormat="1" ht="25.5" customHeight="1">
      <c r="A7" s="382"/>
      <c r="B7" s="383"/>
      <c r="C7" s="710"/>
      <c r="D7" s="384"/>
      <c r="E7" s="909" t="s">
        <v>292</v>
      </c>
      <c r="F7" s="909"/>
      <c r="G7" s="385"/>
      <c r="H7" s="385"/>
      <c r="I7" s="384">
        <f>D7-D10</f>
        <v>-844353.2</v>
      </c>
      <c r="J7" s="386"/>
    </row>
    <row r="8" spans="1:15" s="392" customFormat="1" ht="96.75" customHeight="1">
      <c r="A8" s="387" t="s">
        <v>293</v>
      </c>
      <c r="B8" s="388" t="s">
        <v>377</v>
      </c>
      <c r="C8" s="388" t="s">
        <v>579</v>
      </c>
      <c r="D8" s="387" t="s">
        <v>729</v>
      </c>
      <c r="E8" s="387" t="s">
        <v>730</v>
      </c>
      <c r="F8" s="387" t="s">
        <v>378</v>
      </c>
      <c r="G8" s="387" t="s">
        <v>80</v>
      </c>
      <c r="H8" s="387" t="s">
        <v>323</v>
      </c>
      <c r="I8" s="389"/>
      <c r="J8" s="390"/>
      <c r="K8" s="391"/>
      <c r="O8" s="393"/>
    </row>
    <row r="9" spans="1:12" s="392" customFormat="1" ht="21" customHeight="1" hidden="1">
      <c r="A9" s="387" t="s">
        <v>294</v>
      </c>
      <c r="B9" s="388" t="s">
        <v>299</v>
      </c>
      <c r="C9" s="711"/>
      <c r="D9" s="387" t="s">
        <v>69</v>
      </c>
      <c r="E9" s="387">
        <v>2</v>
      </c>
      <c r="F9" s="387">
        <v>4</v>
      </c>
      <c r="G9" s="387"/>
      <c r="H9" s="387"/>
      <c r="I9" s="389"/>
      <c r="J9" s="394"/>
      <c r="K9" s="393"/>
      <c r="L9" s="395"/>
    </row>
    <row r="10" spans="1:16" ht="36.75" customHeight="1">
      <c r="A10" s="387"/>
      <c r="B10" s="396" t="s">
        <v>44</v>
      </c>
      <c r="C10" s="397">
        <f>C11+C120+C123+C132</f>
        <v>822728</v>
      </c>
      <c r="D10" s="397">
        <f>D11+D120+D123+D132</f>
        <v>844353.2</v>
      </c>
      <c r="E10" s="397">
        <f>E11+E120+E123+E132</f>
        <v>18576.466999999997</v>
      </c>
      <c r="F10" s="397">
        <f>F11+F120+F123+F132</f>
        <v>825776.733</v>
      </c>
      <c r="G10" s="398" t="e">
        <f>G11+G120+G123+#REF!</f>
        <v>#REF!</v>
      </c>
      <c r="H10" s="398" t="e">
        <f>H11+H120+H123+#REF!</f>
        <v>#REF!</v>
      </c>
      <c r="I10" s="399">
        <f>'[1]PL 01 (THU)'!F32</f>
        <v>808889</v>
      </c>
      <c r="J10" s="400">
        <f>I10-D10</f>
        <v>-35464.19999999995</v>
      </c>
      <c r="K10" s="401"/>
      <c r="L10" s="401"/>
      <c r="M10" s="401"/>
      <c r="N10" s="401">
        <f>844353-D10</f>
        <v>-0.19999999995343387</v>
      </c>
      <c r="P10" s="401"/>
    </row>
    <row r="11" spans="1:13" ht="24" customHeight="1">
      <c r="A11" s="387" t="s">
        <v>294</v>
      </c>
      <c r="B11" s="396" t="s">
        <v>619</v>
      </c>
      <c r="C11" s="403">
        <f aca="true" t="shared" si="0" ref="C11:H11">C12+C14+C117</f>
        <v>675946</v>
      </c>
      <c r="D11" s="403">
        <f t="shared" si="0"/>
        <v>677102.2</v>
      </c>
      <c r="E11" s="403">
        <f t="shared" si="0"/>
        <v>18576.466999999997</v>
      </c>
      <c r="F11" s="403">
        <f t="shared" si="0"/>
        <v>658525.733</v>
      </c>
      <c r="G11" s="398" t="e">
        <f t="shared" si="0"/>
        <v>#REF!</v>
      </c>
      <c r="H11" s="398" t="e">
        <f t="shared" si="0"/>
        <v>#REF!</v>
      </c>
      <c r="I11" s="399">
        <f>J11-D11</f>
        <v>-11331.199999999953</v>
      </c>
      <c r="J11" s="404">
        <v>665771</v>
      </c>
      <c r="K11" s="401"/>
      <c r="M11" s="401"/>
    </row>
    <row r="12" spans="1:12" ht="21" customHeight="1">
      <c r="A12" s="405" t="s">
        <v>295</v>
      </c>
      <c r="B12" s="406" t="s">
        <v>253</v>
      </c>
      <c r="C12" s="403">
        <f>C13</f>
        <v>84719</v>
      </c>
      <c r="D12" s="397">
        <f>SUM(D13:D13)</f>
        <v>84719</v>
      </c>
      <c r="E12" s="397">
        <f>SUM(E13:E13)</f>
        <v>0</v>
      </c>
      <c r="F12" s="397">
        <f>SUM(F13:F13)</f>
        <v>84719</v>
      </c>
      <c r="G12" s="398">
        <f>SUM(G13:G13)</f>
        <v>0</v>
      </c>
      <c r="H12" s="398">
        <f>SUM(H13:H13)</f>
        <v>84719</v>
      </c>
      <c r="I12" s="407"/>
      <c r="J12" s="408">
        <v>102751</v>
      </c>
      <c r="K12" s="401"/>
      <c r="L12" s="401"/>
    </row>
    <row r="13" spans="1:11" ht="25.5" customHeight="1">
      <c r="A13" s="409"/>
      <c r="B13" s="410" t="s">
        <v>630</v>
      </c>
      <c r="C13" s="712">
        <v>84719</v>
      </c>
      <c r="D13" s="411">
        <f>C13</f>
        <v>84719</v>
      </c>
      <c r="E13" s="411"/>
      <c r="F13" s="411">
        <f>D13-E13</f>
        <v>84719</v>
      </c>
      <c r="G13" s="398"/>
      <c r="H13" s="398">
        <f>F13-G13</f>
        <v>84719</v>
      </c>
      <c r="I13" s="399"/>
      <c r="J13" s="412"/>
      <c r="K13" s="401"/>
    </row>
    <row r="14" spans="1:13" ht="24" customHeight="1">
      <c r="A14" s="405" t="s">
        <v>296</v>
      </c>
      <c r="B14" s="406" t="s">
        <v>254</v>
      </c>
      <c r="C14" s="397">
        <f>C15+C19+C33</f>
        <v>574727</v>
      </c>
      <c r="D14" s="397">
        <f>D15+D19+D33</f>
        <v>575883.2</v>
      </c>
      <c r="E14" s="397">
        <f>E15+E19+E33</f>
        <v>18576.466999999997</v>
      </c>
      <c r="F14" s="397">
        <f>F15+F19+F33</f>
        <v>557306.733</v>
      </c>
      <c r="G14" s="398" t="e">
        <f>G34+G15+G46+G19+G65+G66+G93+G96+G102+G104</f>
        <v>#REF!</v>
      </c>
      <c r="H14" s="398" t="e">
        <f>H34+H15+H46+H19+H65+H66+H93+H96+H102+H104</f>
        <v>#REF!</v>
      </c>
      <c r="I14" s="407">
        <f>J14-D14</f>
        <v>-27643.199999999953</v>
      </c>
      <c r="J14" s="413">
        <v>548240</v>
      </c>
      <c r="K14" s="401"/>
      <c r="L14" s="401"/>
      <c r="M14" s="401"/>
    </row>
    <row r="15" spans="1:11" s="415" customFormat="1" ht="25.5" customHeight="1">
      <c r="A15" s="405">
        <v>1</v>
      </c>
      <c r="B15" s="406" t="s">
        <v>580</v>
      </c>
      <c r="C15" s="397">
        <f>C16</f>
        <v>33568</v>
      </c>
      <c r="D15" s="397">
        <f>D16+D17</f>
        <v>33568</v>
      </c>
      <c r="E15" s="397">
        <f>E16+E17</f>
        <v>0</v>
      </c>
      <c r="F15" s="397">
        <f>F16+F17</f>
        <v>33568</v>
      </c>
      <c r="G15" s="398">
        <f>G16</f>
        <v>0</v>
      </c>
      <c r="H15" s="398">
        <f>H16</f>
        <v>33568</v>
      </c>
      <c r="I15" s="399"/>
      <c r="J15" s="414" t="e">
        <f>'[1]DVI SN'!#REF!</f>
        <v>#REF!</v>
      </c>
      <c r="K15" s="401">
        <f>D15-E15</f>
        <v>33568</v>
      </c>
    </row>
    <row r="16" spans="1:11" s="415" customFormat="1" ht="24" customHeight="1">
      <c r="A16" s="405"/>
      <c r="B16" s="416" t="s">
        <v>637</v>
      </c>
      <c r="C16" s="411">
        <v>33568</v>
      </c>
      <c r="D16" s="411">
        <v>33568</v>
      </c>
      <c r="E16" s="411">
        <v>0</v>
      </c>
      <c r="F16" s="411">
        <f>D16-E16</f>
        <v>33568</v>
      </c>
      <c r="G16" s="398"/>
      <c r="H16" s="398">
        <f>F16-G16</f>
        <v>33568</v>
      </c>
      <c r="I16" s="399"/>
      <c r="J16" s="418"/>
      <c r="K16" s="401">
        <f>D16-E16</f>
        <v>33568</v>
      </c>
    </row>
    <row r="17" spans="1:11" s="415" customFormat="1" ht="24" customHeight="1" hidden="1">
      <c r="A17" s="405"/>
      <c r="B17" s="416" t="s">
        <v>668</v>
      </c>
      <c r="C17" s="417"/>
      <c r="D17" s="411"/>
      <c r="E17" s="411"/>
      <c r="F17" s="411"/>
      <c r="G17" s="398"/>
      <c r="H17" s="398"/>
      <c r="I17" s="399"/>
      <c r="J17" s="418"/>
      <c r="K17" s="401">
        <f>D17-E17</f>
        <v>0</v>
      </c>
    </row>
    <row r="18" spans="1:11" s="415" customFormat="1" ht="24" customHeight="1" hidden="1">
      <c r="A18" s="405"/>
      <c r="B18" s="419" t="s">
        <v>819</v>
      </c>
      <c r="C18" s="417"/>
      <c r="D18" s="411"/>
      <c r="E18" s="411"/>
      <c r="F18" s="411"/>
      <c r="G18" s="398"/>
      <c r="H18" s="398"/>
      <c r="I18" s="399"/>
      <c r="J18" s="418"/>
      <c r="K18" s="401"/>
    </row>
    <row r="19" spans="1:12" ht="42" customHeight="1">
      <c r="A19" s="405">
        <v>2</v>
      </c>
      <c r="B19" s="406" t="s">
        <v>728</v>
      </c>
      <c r="C19" s="403">
        <v>255072</v>
      </c>
      <c r="D19" s="397">
        <f>D20+D27+D32</f>
        <v>255072</v>
      </c>
      <c r="E19" s="397">
        <f>E20+E27+E32</f>
        <v>6277.366999999998</v>
      </c>
      <c r="F19" s="397">
        <f>F20+F27+F32</f>
        <v>248794.633</v>
      </c>
      <c r="G19" s="398" t="e">
        <f>G20+G27+#REF!+#REF!</f>
        <v>#REF!</v>
      </c>
      <c r="H19" s="398" t="e">
        <f>H20+H27+#REF!+#REF!</f>
        <v>#REF!</v>
      </c>
      <c r="I19" s="399"/>
      <c r="J19" s="420"/>
      <c r="K19" s="401">
        <f>D19-E19</f>
        <v>248794.633</v>
      </c>
      <c r="L19" s="401"/>
    </row>
    <row r="20" spans="1:11" ht="25.5" customHeight="1">
      <c r="A20" s="405" t="s">
        <v>746</v>
      </c>
      <c r="B20" s="406" t="s">
        <v>269</v>
      </c>
      <c r="C20" s="403"/>
      <c r="D20" s="397">
        <f>SUM(D21:D23)+D26</f>
        <v>237829.33000000002</v>
      </c>
      <c r="E20" s="397">
        <f>SUM(E21:E23)+E26</f>
        <v>4709.6</v>
      </c>
      <c r="F20" s="397">
        <f>SUM(F21:F23)+F26</f>
        <v>233119.73</v>
      </c>
      <c r="G20" s="398">
        <f>SUM(G21:G22)</f>
        <v>6716</v>
      </c>
      <c r="H20" s="398">
        <f>SUM(H21:H22)</f>
        <v>222278.83000000002</v>
      </c>
      <c r="I20" s="399"/>
      <c r="J20" s="401"/>
      <c r="K20" s="401">
        <f>D20-E20</f>
        <v>233119.73</v>
      </c>
    </row>
    <row r="21" spans="1:11" ht="42" customHeight="1">
      <c r="A21" s="409" t="s">
        <v>311</v>
      </c>
      <c r="B21" s="410" t="s">
        <v>669</v>
      </c>
      <c r="C21" s="713"/>
      <c r="D21" s="411">
        <f>'SN GIAODUC-muc moi'!I14</f>
        <v>233491.33000000002</v>
      </c>
      <c r="E21" s="411">
        <f>'SN GIAODUC-muc moi'!J14</f>
        <v>4496.5</v>
      </c>
      <c r="F21" s="411">
        <f>D21-E21</f>
        <v>228994.83000000002</v>
      </c>
      <c r="G21" s="398">
        <v>6716</v>
      </c>
      <c r="H21" s="398">
        <f>F21-G21</f>
        <v>222278.83000000002</v>
      </c>
      <c r="I21" s="399"/>
      <c r="K21" s="401">
        <f>D21-E21</f>
        <v>228994.83000000002</v>
      </c>
    </row>
    <row r="22" spans="1:11" ht="24" customHeight="1">
      <c r="A22" s="409" t="s">
        <v>312</v>
      </c>
      <c r="B22" s="410" t="s">
        <v>670</v>
      </c>
      <c r="C22" s="714"/>
      <c r="D22" s="411">
        <f>'SN GIAODUC-muc moi'!I114</f>
        <v>1531</v>
      </c>
      <c r="E22" s="411">
        <f>'SN GIAODUC-muc moi'!J114</f>
        <v>153.1</v>
      </c>
      <c r="F22" s="411">
        <f>D22-E22</f>
        <v>1377.9</v>
      </c>
      <c r="G22" s="398"/>
      <c r="H22" s="398"/>
      <c r="I22" s="399"/>
      <c r="K22" s="401">
        <f>D22-E22</f>
        <v>1377.9</v>
      </c>
    </row>
    <row r="23" spans="1:11" ht="23.25" customHeight="1">
      <c r="A23" s="409" t="s">
        <v>381</v>
      </c>
      <c r="B23" s="416" t="s">
        <v>494</v>
      </c>
      <c r="C23" s="714"/>
      <c r="D23" s="411">
        <f>D24+D25</f>
        <v>250</v>
      </c>
      <c r="E23" s="411">
        <f>E24+E25</f>
        <v>0</v>
      </c>
      <c r="F23" s="411">
        <f>F24+F25</f>
        <v>250</v>
      </c>
      <c r="G23" s="398"/>
      <c r="H23" s="398"/>
      <c r="I23" s="399"/>
      <c r="K23" s="401"/>
    </row>
    <row r="24" spans="1:11" ht="23.25" customHeight="1">
      <c r="A24" s="405"/>
      <c r="B24" s="419" t="s">
        <v>488</v>
      </c>
      <c r="C24" s="714"/>
      <c r="D24" s="417">
        <v>150</v>
      </c>
      <c r="E24" s="417"/>
      <c r="F24" s="411">
        <f>D24-E24</f>
        <v>150</v>
      </c>
      <c r="G24" s="398"/>
      <c r="H24" s="398"/>
      <c r="I24" s="399"/>
      <c r="K24" s="401"/>
    </row>
    <row r="25" spans="1:11" ht="23.25" customHeight="1">
      <c r="A25" s="405"/>
      <c r="B25" s="419" t="s">
        <v>821</v>
      </c>
      <c r="C25" s="714"/>
      <c r="D25" s="417">
        <v>100</v>
      </c>
      <c r="E25" s="417"/>
      <c r="F25" s="411">
        <f>D25-E25</f>
        <v>100</v>
      </c>
      <c r="G25" s="398"/>
      <c r="H25" s="398"/>
      <c r="I25" s="399"/>
      <c r="K25" s="401"/>
    </row>
    <row r="26" spans="1:11" ht="37.5" customHeight="1">
      <c r="A26" s="409" t="s">
        <v>382</v>
      </c>
      <c r="B26" s="416" t="s">
        <v>74</v>
      </c>
      <c r="C26" s="715"/>
      <c r="D26" s="411">
        <f>'SN GIAODUC-muc moi'!I118</f>
        <v>2557</v>
      </c>
      <c r="E26" s="411">
        <f>'SN GIAODUC-muc moi'!J118</f>
        <v>60</v>
      </c>
      <c r="F26" s="411">
        <f>D26-E26</f>
        <v>2497</v>
      </c>
      <c r="G26" s="398"/>
      <c r="H26" s="398"/>
      <c r="I26" s="399"/>
      <c r="K26" s="401"/>
    </row>
    <row r="27" spans="1:13" ht="24" customHeight="1">
      <c r="A27" s="405" t="s">
        <v>747</v>
      </c>
      <c r="B27" s="406" t="s">
        <v>846</v>
      </c>
      <c r="C27" s="403"/>
      <c r="D27" s="397">
        <f>D28+D29</f>
        <v>1565</v>
      </c>
      <c r="E27" s="397">
        <f>E28+E29</f>
        <v>0</v>
      </c>
      <c r="F27" s="397">
        <f>F28+F29</f>
        <v>1565</v>
      </c>
      <c r="G27" s="398" t="e">
        <f>G29+#REF!</f>
        <v>#REF!</v>
      </c>
      <c r="H27" s="398" t="e">
        <f>H29+#REF!</f>
        <v>#REF!</v>
      </c>
      <c r="I27" s="398" t="e">
        <f>I29+#REF!</f>
        <v>#REF!</v>
      </c>
      <c r="J27" s="398" t="e">
        <f>J29+#REF!</f>
        <v>#REF!</v>
      </c>
      <c r="K27" s="398" t="e">
        <f>K29+#REF!</f>
        <v>#REF!</v>
      </c>
      <c r="L27" s="398" t="e">
        <f>L29+#REF!</f>
        <v>#REF!</v>
      </c>
      <c r="M27" s="398" t="e">
        <f>M29+#REF!</f>
        <v>#REF!</v>
      </c>
    </row>
    <row r="28" spans="1:13" ht="42" customHeight="1">
      <c r="A28" s="409" t="s">
        <v>311</v>
      </c>
      <c r="B28" s="410" t="s">
        <v>820</v>
      </c>
      <c r="C28" s="715"/>
      <c r="D28" s="411">
        <v>1200</v>
      </c>
      <c r="E28" s="411"/>
      <c r="F28" s="411">
        <f>D28-E28</f>
        <v>1200</v>
      </c>
      <c r="G28" s="398"/>
      <c r="H28" s="398"/>
      <c r="I28" s="399"/>
      <c r="J28" s="399"/>
      <c r="K28" s="399"/>
      <c r="L28" s="399"/>
      <c r="M28" s="399"/>
    </row>
    <row r="29" spans="1:11" ht="24" customHeight="1">
      <c r="A29" s="409" t="s">
        <v>312</v>
      </c>
      <c r="B29" s="416" t="s">
        <v>73</v>
      </c>
      <c r="C29" s="403"/>
      <c r="D29" s="411">
        <f>D30+D31</f>
        <v>365</v>
      </c>
      <c r="E29" s="411">
        <f>E30+E31</f>
        <v>0</v>
      </c>
      <c r="F29" s="411">
        <f>F30+F31</f>
        <v>365</v>
      </c>
      <c r="G29" s="398"/>
      <c r="H29" s="398">
        <f>F29-G29</f>
        <v>365</v>
      </c>
      <c r="I29" s="399"/>
      <c r="K29" s="401">
        <f>D29-E29</f>
        <v>365</v>
      </c>
    </row>
    <row r="30" spans="1:11" ht="24" customHeight="1">
      <c r="A30" s="405"/>
      <c r="B30" s="419" t="s">
        <v>487</v>
      </c>
      <c r="C30" s="714"/>
      <c r="D30" s="417">
        <v>300</v>
      </c>
      <c r="E30" s="417"/>
      <c r="F30" s="411">
        <f>D30-E30</f>
        <v>300</v>
      </c>
      <c r="G30" s="398"/>
      <c r="H30" s="398">
        <f>F30-G30</f>
        <v>300</v>
      </c>
      <c r="I30" s="399"/>
      <c r="K30" s="401">
        <f>D30-E30</f>
        <v>300</v>
      </c>
    </row>
    <row r="31" spans="1:11" ht="24" customHeight="1">
      <c r="A31" s="405"/>
      <c r="B31" s="419" t="s">
        <v>821</v>
      </c>
      <c r="C31" s="714"/>
      <c r="D31" s="417">
        <v>65</v>
      </c>
      <c r="E31" s="417"/>
      <c r="F31" s="411">
        <f>D31-E31</f>
        <v>65</v>
      </c>
      <c r="G31" s="398"/>
      <c r="H31" s="398">
        <f>F31-G31</f>
        <v>65</v>
      </c>
      <c r="I31" s="399"/>
      <c r="K31" s="401">
        <f>D31-E31</f>
        <v>65</v>
      </c>
    </row>
    <row r="32" spans="1:11" s="422" customFormat="1" ht="24.75" customHeight="1">
      <c r="A32" s="405" t="s">
        <v>748</v>
      </c>
      <c r="B32" s="406" t="s">
        <v>605</v>
      </c>
      <c r="C32" s="716"/>
      <c r="D32" s="397">
        <f>'SN GIAODUC-muc moi'!I127</f>
        <v>15677.669999999984</v>
      </c>
      <c r="E32" s="397">
        <f>'SN GIAODUC-muc moi'!J127</f>
        <v>1567.7669999999985</v>
      </c>
      <c r="F32" s="397">
        <f>D32-E32</f>
        <v>14109.902999999986</v>
      </c>
      <c r="G32" s="398"/>
      <c r="H32" s="398"/>
      <c r="I32" s="399"/>
      <c r="K32" s="423"/>
    </row>
    <row r="33" spans="1:14" s="422" customFormat="1" ht="24" customHeight="1">
      <c r="A33" s="405">
        <v>3</v>
      </c>
      <c r="B33" s="406" t="s">
        <v>749</v>
      </c>
      <c r="C33" s="397">
        <v>286087</v>
      </c>
      <c r="D33" s="397">
        <f>D34+D46+D65+D66+D93+D96+D102+D104</f>
        <v>287243.2</v>
      </c>
      <c r="E33" s="397">
        <f>E34+E46+E65+E66+E93+E96+E102+E104</f>
        <v>12299.1</v>
      </c>
      <c r="F33" s="397">
        <f>F34+F46+F65+F66+F93+F96+F102+F104</f>
        <v>274944.1</v>
      </c>
      <c r="G33" s="398"/>
      <c r="H33" s="398"/>
      <c r="I33" s="399"/>
      <c r="J33" s="404"/>
      <c r="K33" s="423"/>
      <c r="N33" s="423"/>
    </row>
    <row r="34" spans="1:12" ht="22.5" customHeight="1">
      <c r="A34" s="405" t="s">
        <v>75</v>
      </c>
      <c r="B34" s="406" t="s">
        <v>752</v>
      </c>
      <c r="C34" s="713"/>
      <c r="D34" s="397">
        <f>D35+D38+D41+D42+D43+D44+D45</f>
        <v>51517</v>
      </c>
      <c r="E34" s="397">
        <f>E35+E38+E41+E42+E43+E44+E45</f>
        <v>4989</v>
      </c>
      <c r="F34" s="397">
        <f>F35+F38+F41+F42+F43+F44+F45</f>
        <v>46528</v>
      </c>
      <c r="G34" s="398">
        <f>G35+G38+G41+G42+G43+G44+G45</f>
        <v>0</v>
      </c>
      <c r="H34" s="398">
        <f>H35+H38+H41+H42+H43+H44+H45</f>
        <v>45293</v>
      </c>
      <c r="I34" s="399"/>
      <c r="J34" s="424" t="e">
        <f>'[1]DVI SN'!#REF!</f>
        <v>#REF!</v>
      </c>
      <c r="K34" s="401"/>
      <c r="L34" s="401"/>
    </row>
    <row r="35" spans="1:12" ht="24" customHeight="1">
      <c r="A35" s="409" t="s">
        <v>311</v>
      </c>
      <c r="B35" s="410" t="s">
        <v>750</v>
      </c>
      <c r="C35" s="715"/>
      <c r="D35" s="421">
        <f>D36+D37</f>
        <v>4244</v>
      </c>
      <c r="E35" s="421">
        <f>E36+E37</f>
        <v>378</v>
      </c>
      <c r="F35" s="421">
        <f>F36+F37</f>
        <v>3866</v>
      </c>
      <c r="G35" s="398"/>
      <c r="H35" s="398">
        <f>F35-G35</f>
        <v>3866</v>
      </c>
      <c r="I35" s="399"/>
      <c r="J35" s="412"/>
      <c r="K35" s="401"/>
      <c r="L35" s="401"/>
    </row>
    <row r="36" spans="1:12" ht="24" customHeight="1">
      <c r="A36" s="409"/>
      <c r="B36" s="425" t="s">
        <v>667</v>
      </c>
      <c r="C36" s="715"/>
      <c r="D36" s="417">
        <v>3000</v>
      </c>
      <c r="E36" s="417">
        <v>300</v>
      </c>
      <c r="F36" s="417">
        <f>D36-E36</f>
        <v>2700</v>
      </c>
      <c r="G36" s="398"/>
      <c r="H36" s="398"/>
      <c r="I36" s="399"/>
      <c r="J36" s="412"/>
      <c r="K36" s="401"/>
      <c r="L36" s="401"/>
    </row>
    <row r="37" spans="1:12" ht="24" customHeight="1">
      <c r="A37" s="409"/>
      <c r="B37" s="425" t="s">
        <v>688</v>
      </c>
      <c r="C37" s="715"/>
      <c r="D37" s="417">
        <v>1244</v>
      </c>
      <c r="E37" s="417">
        <v>78</v>
      </c>
      <c r="F37" s="417">
        <f>D37-E37</f>
        <v>1166</v>
      </c>
      <c r="G37" s="398"/>
      <c r="H37" s="398"/>
      <c r="I37" s="399"/>
      <c r="J37" s="412"/>
      <c r="K37" s="401"/>
      <c r="L37" s="401"/>
    </row>
    <row r="38" spans="1:12" ht="21" customHeight="1">
      <c r="A38" s="409" t="s">
        <v>312</v>
      </c>
      <c r="B38" s="410" t="s">
        <v>631</v>
      </c>
      <c r="C38" s="411"/>
      <c r="D38" s="421">
        <f>SUM(D39:D40)</f>
        <v>1258</v>
      </c>
      <c r="E38" s="421">
        <f>SUM(E39:E40)</f>
        <v>23</v>
      </c>
      <c r="F38" s="421">
        <f>SUM(F39:F40)</f>
        <v>1235</v>
      </c>
      <c r="G38" s="398">
        <f>SUM(G39:G40)</f>
        <v>0</v>
      </c>
      <c r="H38" s="398">
        <f>SUM(H39:H40)</f>
        <v>0</v>
      </c>
      <c r="I38" s="399"/>
      <c r="J38" s="424"/>
      <c r="K38" s="401"/>
      <c r="L38" s="401"/>
    </row>
    <row r="39" spans="1:11" ht="20.25" customHeight="1">
      <c r="A39" s="409"/>
      <c r="B39" s="419" t="s">
        <v>689</v>
      </c>
      <c r="C39" s="717"/>
      <c r="D39" s="417">
        <v>770</v>
      </c>
      <c r="E39" s="417">
        <v>23</v>
      </c>
      <c r="F39" s="417">
        <f aca="true" t="shared" si="1" ref="F39:F45">D39-E39</f>
        <v>747</v>
      </c>
      <c r="G39" s="398"/>
      <c r="H39" s="398"/>
      <c r="I39" s="399"/>
      <c r="J39" s="412"/>
      <c r="K39" s="401"/>
    </row>
    <row r="40" spans="1:11" s="720" customFormat="1" ht="16.5">
      <c r="A40" s="718"/>
      <c r="B40" s="419" t="s">
        <v>690</v>
      </c>
      <c r="C40" s="717"/>
      <c r="D40" s="417">
        <v>488</v>
      </c>
      <c r="E40" s="417"/>
      <c r="F40" s="417">
        <f t="shared" si="1"/>
        <v>488</v>
      </c>
      <c r="G40" s="398"/>
      <c r="H40" s="398"/>
      <c r="I40" s="399"/>
      <c r="J40" s="719"/>
      <c r="K40" s="401"/>
    </row>
    <row r="41" spans="1:11" ht="23.25" customHeight="1">
      <c r="A41" s="409" t="s">
        <v>381</v>
      </c>
      <c r="B41" s="410" t="s">
        <v>632</v>
      </c>
      <c r="C41" s="713"/>
      <c r="D41" s="411">
        <v>330</v>
      </c>
      <c r="E41" s="411">
        <v>30</v>
      </c>
      <c r="F41" s="411">
        <f t="shared" si="1"/>
        <v>300</v>
      </c>
      <c r="G41" s="398"/>
      <c r="H41" s="398">
        <f>F41-G41</f>
        <v>300</v>
      </c>
      <c r="I41" s="399"/>
      <c r="J41" s="412"/>
      <c r="K41" s="401">
        <f aca="true" t="shared" si="2" ref="K41:K92">D41-E41</f>
        <v>300</v>
      </c>
    </row>
    <row r="42" spans="1:11" ht="24" customHeight="1">
      <c r="A42" s="409" t="s">
        <v>382</v>
      </c>
      <c r="B42" s="410" t="s">
        <v>633</v>
      </c>
      <c r="C42" s="417"/>
      <c r="D42" s="411">
        <v>40000</v>
      </c>
      <c r="E42" s="411">
        <v>4000</v>
      </c>
      <c r="F42" s="411">
        <f t="shared" si="1"/>
        <v>36000</v>
      </c>
      <c r="G42" s="398"/>
      <c r="H42" s="398">
        <f>F42-G42</f>
        <v>36000</v>
      </c>
      <c r="I42" s="399"/>
      <c r="J42" s="424" t="e">
        <f>'[1]DVI SN'!#REF!</f>
        <v>#REF!</v>
      </c>
      <c r="K42" s="401">
        <f t="shared" si="2"/>
        <v>36000</v>
      </c>
    </row>
    <row r="43" spans="1:11" ht="24" customHeight="1">
      <c r="A43" s="409" t="s">
        <v>87</v>
      </c>
      <c r="B43" s="410" t="s">
        <v>634</v>
      </c>
      <c r="C43" s="411"/>
      <c r="D43" s="411">
        <v>1100</v>
      </c>
      <c r="E43" s="411">
        <v>100</v>
      </c>
      <c r="F43" s="411">
        <f t="shared" si="1"/>
        <v>1000</v>
      </c>
      <c r="G43" s="398"/>
      <c r="H43" s="398">
        <f>F43-G43</f>
        <v>1000</v>
      </c>
      <c r="I43" s="399"/>
      <c r="J43" s="412"/>
      <c r="K43" s="401">
        <f t="shared" si="2"/>
        <v>1000</v>
      </c>
    </row>
    <row r="44" spans="1:11" ht="22.5" customHeight="1">
      <c r="A44" s="409" t="s">
        <v>581</v>
      </c>
      <c r="B44" s="410" t="s">
        <v>635</v>
      </c>
      <c r="C44" s="713"/>
      <c r="D44" s="411">
        <v>110</v>
      </c>
      <c r="E44" s="411">
        <v>10</v>
      </c>
      <c r="F44" s="411">
        <f t="shared" si="1"/>
        <v>100</v>
      </c>
      <c r="G44" s="398"/>
      <c r="H44" s="398">
        <f>F44-G44</f>
        <v>100</v>
      </c>
      <c r="I44" s="399"/>
      <c r="J44" s="412"/>
      <c r="K44" s="401">
        <f t="shared" si="2"/>
        <v>100</v>
      </c>
    </row>
    <row r="45" spans="1:11" s="415" customFormat="1" ht="24.75" customHeight="1">
      <c r="A45" s="409" t="s">
        <v>88</v>
      </c>
      <c r="B45" s="410" t="s">
        <v>636</v>
      </c>
      <c r="C45" s="713"/>
      <c r="D45" s="411">
        <f>'DVI SN'!X56</f>
        <v>4475</v>
      </c>
      <c r="E45" s="411">
        <v>448</v>
      </c>
      <c r="F45" s="411">
        <f t="shared" si="1"/>
        <v>4027</v>
      </c>
      <c r="G45" s="398"/>
      <c r="H45" s="398">
        <f>F45-G45</f>
        <v>4027</v>
      </c>
      <c r="I45" s="399"/>
      <c r="J45" s="418"/>
      <c r="K45" s="401">
        <f t="shared" si="2"/>
        <v>4027</v>
      </c>
    </row>
    <row r="46" spans="1:18" ht="39.75" customHeight="1">
      <c r="A46" s="405" t="s">
        <v>76</v>
      </c>
      <c r="B46" s="406" t="s">
        <v>638</v>
      </c>
      <c r="C46" s="403"/>
      <c r="D46" s="397">
        <f>D47+D58+D62</f>
        <v>4941</v>
      </c>
      <c r="E46" s="397">
        <f>E47+E58+E62</f>
        <v>144</v>
      </c>
      <c r="F46" s="397">
        <f>F47+F58+F62</f>
        <v>4797</v>
      </c>
      <c r="G46" s="398" t="e">
        <f>G47+G58+G62+#REF!</f>
        <v>#REF!</v>
      </c>
      <c r="H46" s="398" t="e">
        <f>H47+H58+H62+#REF!</f>
        <v>#REF!</v>
      </c>
      <c r="I46" s="399"/>
      <c r="J46" s="426" t="e">
        <f>'[1]DVI SN'!#REF!</f>
        <v>#REF!</v>
      </c>
      <c r="K46" s="401">
        <f t="shared" si="2"/>
        <v>4797</v>
      </c>
      <c r="L46" s="401">
        <f>D46-D49+30</f>
        <v>4771</v>
      </c>
      <c r="M46" s="401">
        <f>L46-E46</f>
        <v>4627</v>
      </c>
      <c r="R46" s="402" t="s">
        <v>410</v>
      </c>
    </row>
    <row r="47" spans="1:13" ht="24" customHeight="1">
      <c r="A47" s="405" t="s">
        <v>751</v>
      </c>
      <c r="B47" s="406" t="s">
        <v>830</v>
      </c>
      <c r="C47" s="403"/>
      <c r="D47" s="397">
        <f>D48+D53</f>
        <v>3182</v>
      </c>
      <c r="E47" s="397">
        <f aca="true" t="shared" si="3" ref="E47:M47">E48+E53</f>
        <v>76</v>
      </c>
      <c r="F47" s="397">
        <f t="shared" si="3"/>
        <v>3106</v>
      </c>
      <c r="G47" s="398">
        <f t="shared" si="3"/>
        <v>457</v>
      </c>
      <c r="H47" s="398">
        <f t="shared" si="3"/>
        <v>2349</v>
      </c>
      <c r="I47" s="398">
        <f t="shared" si="3"/>
        <v>0</v>
      </c>
      <c r="J47" s="398">
        <f t="shared" si="3"/>
        <v>0</v>
      </c>
      <c r="K47" s="398">
        <f t="shared" si="3"/>
        <v>1865</v>
      </c>
      <c r="L47" s="398">
        <f t="shared" si="3"/>
        <v>0</v>
      </c>
      <c r="M47" s="398">
        <f t="shared" si="3"/>
        <v>0</v>
      </c>
    </row>
    <row r="48" spans="1:13" ht="38.25" customHeight="1">
      <c r="A48" s="409" t="s">
        <v>311</v>
      </c>
      <c r="B48" s="406" t="s">
        <v>854</v>
      </c>
      <c r="C48" s="403"/>
      <c r="D48" s="397">
        <f>D49+D50</f>
        <v>1941</v>
      </c>
      <c r="E48" s="397">
        <f aca="true" t="shared" si="4" ref="E48:M48">E49+E50</f>
        <v>76</v>
      </c>
      <c r="F48" s="397">
        <f t="shared" si="4"/>
        <v>1865</v>
      </c>
      <c r="G48" s="398">
        <f t="shared" si="4"/>
        <v>457</v>
      </c>
      <c r="H48" s="398">
        <f t="shared" si="4"/>
        <v>2349</v>
      </c>
      <c r="I48" s="398">
        <f t="shared" si="4"/>
        <v>0</v>
      </c>
      <c r="J48" s="398">
        <f t="shared" si="4"/>
        <v>0</v>
      </c>
      <c r="K48" s="398">
        <f t="shared" si="4"/>
        <v>1865</v>
      </c>
      <c r="L48" s="398">
        <f t="shared" si="4"/>
        <v>0</v>
      </c>
      <c r="M48" s="398">
        <f t="shared" si="4"/>
        <v>0</v>
      </c>
    </row>
    <row r="49" spans="1:11" ht="23.25" customHeight="1">
      <c r="A49" s="409"/>
      <c r="B49" s="416" t="s">
        <v>717</v>
      </c>
      <c r="C49" s="403"/>
      <c r="D49" s="411">
        <v>200</v>
      </c>
      <c r="E49" s="411"/>
      <c r="F49" s="411">
        <f>D49-E49</f>
        <v>200</v>
      </c>
      <c r="G49" s="398"/>
      <c r="H49" s="398">
        <f>F49-G49</f>
        <v>200</v>
      </c>
      <c r="I49" s="399"/>
      <c r="J49" s="412"/>
      <c r="K49" s="401">
        <f t="shared" si="2"/>
        <v>200</v>
      </c>
    </row>
    <row r="50" spans="1:11" ht="23.25" customHeight="1">
      <c r="A50" s="409"/>
      <c r="B50" s="416" t="s">
        <v>753</v>
      </c>
      <c r="C50" s="403"/>
      <c r="D50" s="421">
        <f>D51+D52</f>
        <v>1741</v>
      </c>
      <c r="E50" s="421">
        <f>E51+E52</f>
        <v>76</v>
      </c>
      <c r="F50" s="421">
        <f>F51+F52</f>
        <v>1665</v>
      </c>
      <c r="G50" s="398">
        <f>SUM(G51:G56)</f>
        <v>457</v>
      </c>
      <c r="H50" s="398">
        <f>SUM(H51:H56)</f>
        <v>2149</v>
      </c>
      <c r="I50" s="399"/>
      <c r="J50" s="426"/>
      <c r="K50" s="401">
        <f t="shared" si="2"/>
        <v>1665</v>
      </c>
    </row>
    <row r="51" spans="1:11" ht="23.25" customHeight="1">
      <c r="A51" s="405"/>
      <c r="B51" s="425" t="s">
        <v>718</v>
      </c>
      <c r="C51" s="716"/>
      <c r="D51" s="417">
        <f>796+180</f>
        <v>976</v>
      </c>
      <c r="E51" s="417"/>
      <c r="F51" s="417">
        <f>D51-E51</f>
        <v>976</v>
      </c>
      <c r="G51" s="398"/>
      <c r="H51" s="398">
        <f>F51-G51</f>
        <v>976</v>
      </c>
      <c r="I51" s="399"/>
      <c r="J51" s="426"/>
      <c r="K51" s="401">
        <f t="shared" si="2"/>
        <v>976</v>
      </c>
    </row>
    <row r="52" spans="1:11" ht="21" customHeight="1">
      <c r="A52" s="405"/>
      <c r="B52" s="425" t="s">
        <v>719</v>
      </c>
      <c r="C52" s="714"/>
      <c r="D52" s="417">
        <f>630+135</f>
        <v>765</v>
      </c>
      <c r="E52" s="417">
        <f>63+13</f>
        <v>76</v>
      </c>
      <c r="F52" s="417">
        <f>D52-E52</f>
        <v>689</v>
      </c>
      <c r="G52" s="398">
        <f>322+135</f>
        <v>457</v>
      </c>
      <c r="H52" s="398">
        <f>F52-G52</f>
        <v>232</v>
      </c>
      <c r="I52" s="399"/>
      <c r="K52" s="401">
        <f t="shared" si="2"/>
        <v>689</v>
      </c>
    </row>
    <row r="53" spans="1:11" ht="26.25" customHeight="1">
      <c r="A53" s="409" t="s">
        <v>312</v>
      </c>
      <c r="B53" s="721" t="s">
        <v>720</v>
      </c>
      <c r="C53" s="722"/>
      <c r="D53" s="397">
        <f>D54+D55+D56+D57</f>
        <v>1241</v>
      </c>
      <c r="E53" s="397">
        <f>E54+E55+E56+E57</f>
        <v>0</v>
      </c>
      <c r="F53" s="397">
        <f>F54+F55+F56+F57</f>
        <v>1241</v>
      </c>
      <c r="G53" s="398"/>
      <c r="H53" s="398"/>
      <c r="I53" s="399"/>
      <c r="K53" s="401"/>
    </row>
    <row r="54" spans="1:11" ht="25.5" customHeight="1" hidden="1">
      <c r="A54" s="405"/>
      <c r="B54" s="425" t="s">
        <v>721</v>
      </c>
      <c r="C54" s="714"/>
      <c r="D54" s="417"/>
      <c r="E54" s="417">
        <v>0</v>
      </c>
      <c r="F54" s="417">
        <f>D54</f>
        <v>0</v>
      </c>
      <c r="G54" s="398"/>
      <c r="H54" s="398"/>
      <c r="I54" s="399"/>
      <c r="K54" s="401"/>
    </row>
    <row r="55" spans="1:11" ht="22.5" customHeight="1">
      <c r="A55" s="405"/>
      <c r="B55" s="425" t="s">
        <v>686</v>
      </c>
      <c r="C55" s="713"/>
      <c r="D55" s="417">
        <v>171</v>
      </c>
      <c r="E55" s="417"/>
      <c r="F55" s="417">
        <f>D55-E55</f>
        <v>171</v>
      </c>
      <c r="G55" s="398"/>
      <c r="H55" s="398">
        <f>F55-G55</f>
        <v>171</v>
      </c>
      <c r="I55" s="399"/>
      <c r="J55" s="412"/>
      <c r="K55" s="401">
        <f t="shared" si="2"/>
        <v>171</v>
      </c>
    </row>
    <row r="56" spans="1:11" ht="57.75" customHeight="1">
      <c r="A56" s="405"/>
      <c r="B56" s="425" t="s">
        <v>754</v>
      </c>
      <c r="C56" s="716"/>
      <c r="D56" s="417">
        <v>770</v>
      </c>
      <c r="E56" s="417"/>
      <c r="F56" s="417">
        <f>D56-E56</f>
        <v>770</v>
      </c>
      <c r="G56" s="398"/>
      <c r="H56" s="398">
        <f>F56-G56</f>
        <v>770</v>
      </c>
      <c r="I56" s="399"/>
      <c r="J56" s="412"/>
      <c r="K56" s="401">
        <f t="shared" si="2"/>
        <v>770</v>
      </c>
    </row>
    <row r="57" spans="1:11" ht="27" customHeight="1">
      <c r="A57" s="405"/>
      <c r="B57" s="864" t="s">
        <v>790</v>
      </c>
      <c r="C57" s="716"/>
      <c r="D57" s="417">
        <v>300</v>
      </c>
      <c r="E57" s="417"/>
      <c r="F57" s="417">
        <f>D57-E57</f>
        <v>300</v>
      </c>
      <c r="G57" s="398"/>
      <c r="H57" s="398"/>
      <c r="I57" s="399"/>
      <c r="J57" s="412"/>
      <c r="K57" s="401"/>
    </row>
    <row r="58" spans="1:11" ht="39" customHeight="1">
      <c r="A58" s="405" t="s">
        <v>755</v>
      </c>
      <c r="B58" s="406" t="s">
        <v>855</v>
      </c>
      <c r="C58" s="403"/>
      <c r="D58" s="397">
        <f>D59+D60+D61</f>
        <v>569</v>
      </c>
      <c r="E58" s="397">
        <f>E59+E60+E61</f>
        <v>18</v>
      </c>
      <c r="F58" s="397">
        <f>F59+F60+F61</f>
        <v>551</v>
      </c>
      <c r="G58" s="398">
        <f>G59+G60</f>
        <v>135</v>
      </c>
      <c r="H58" s="398">
        <f>H59+H60</f>
        <v>416</v>
      </c>
      <c r="I58" s="399"/>
      <c r="J58" s="412"/>
      <c r="K58" s="401">
        <f t="shared" si="2"/>
        <v>551</v>
      </c>
    </row>
    <row r="59" spans="1:11" ht="24.75" customHeight="1">
      <c r="A59" s="405"/>
      <c r="B59" s="425" t="s">
        <v>639</v>
      </c>
      <c r="C59" s="403"/>
      <c r="D59" s="417">
        <v>389</v>
      </c>
      <c r="E59" s="417"/>
      <c r="F59" s="417">
        <f>D59-E59</f>
        <v>389</v>
      </c>
      <c r="G59" s="398"/>
      <c r="H59" s="398">
        <f>F59-G59</f>
        <v>389</v>
      </c>
      <c r="I59" s="399"/>
      <c r="J59" s="412"/>
      <c r="K59" s="401">
        <f t="shared" si="2"/>
        <v>389</v>
      </c>
    </row>
    <row r="60" spans="1:11" ht="28.5" customHeight="1">
      <c r="A60" s="405"/>
      <c r="B60" s="425" t="s">
        <v>822</v>
      </c>
      <c r="C60" s="403"/>
      <c r="D60" s="417">
        <v>180</v>
      </c>
      <c r="E60" s="417">
        <v>18</v>
      </c>
      <c r="F60" s="417">
        <f>D60-E60</f>
        <v>162</v>
      </c>
      <c r="G60" s="427">
        <v>135</v>
      </c>
      <c r="H60" s="427">
        <f>F60-G60</f>
        <v>27</v>
      </c>
      <c r="I60" s="428"/>
      <c r="J60" s="412"/>
      <c r="K60" s="401">
        <f t="shared" si="2"/>
        <v>162</v>
      </c>
    </row>
    <row r="61" spans="1:11" ht="28.5" customHeight="1" hidden="1">
      <c r="A61" s="405"/>
      <c r="B61" s="425" t="s">
        <v>687</v>
      </c>
      <c r="C61" s="403"/>
      <c r="D61" s="417"/>
      <c r="E61" s="417"/>
      <c r="F61" s="417">
        <f>D61-E61</f>
        <v>0</v>
      </c>
      <c r="G61" s="427"/>
      <c r="H61" s="427"/>
      <c r="I61" s="428"/>
      <c r="J61" s="412"/>
      <c r="K61" s="401"/>
    </row>
    <row r="62" spans="1:11" ht="38.25" customHeight="1">
      <c r="A62" s="405" t="s">
        <v>756</v>
      </c>
      <c r="B62" s="406" t="s">
        <v>856</v>
      </c>
      <c r="C62" s="403"/>
      <c r="D62" s="397">
        <f>SUM(D63:D64)</f>
        <v>1190</v>
      </c>
      <c r="E62" s="397">
        <f>SUM(E63:E64)</f>
        <v>50</v>
      </c>
      <c r="F62" s="397">
        <f>SUM(F63:F64)</f>
        <v>1140</v>
      </c>
      <c r="G62" s="398">
        <v>45</v>
      </c>
      <c r="H62" s="398">
        <f>SUM(H63:H64)</f>
        <v>1095</v>
      </c>
      <c r="I62" s="399"/>
      <c r="J62" s="412"/>
      <c r="K62" s="401">
        <f t="shared" si="2"/>
        <v>1140</v>
      </c>
    </row>
    <row r="63" spans="1:11" ht="22.5" customHeight="1">
      <c r="A63" s="405"/>
      <c r="B63" s="425" t="s">
        <v>639</v>
      </c>
      <c r="C63" s="403"/>
      <c r="D63" s="411">
        <v>695</v>
      </c>
      <c r="E63" s="411"/>
      <c r="F63" s="411">
        <f>D63-E63</f>
        <v>695</v>
      </c>
      <c r="G63" s="398"/>
      <c r="H63" s="398">
        <f>F63-G63</f>
        <v>695</v>
      </c>
      <c r="I63" s="399"/>
      <c r="J63" s="412"/>
      <c r="K63" s="401">
        <f t="shared" si="2"/>
        <v>695</v>
      </c>
    </row>
    <row r="64" spans="1:11" ht="27.75" customHeight="1">
      <c r="A64" s="405"/>
      <c r="B64" s="425" t="s">
        <v>822</v>
      </c>
      <c r="C64" s="713"/>
      <c r="D64" s="411">
        <v>495</v>
      </c>
      <c r="E64" s="411">
        <v>50</v>
      </c>
      <c r="F64" s="411">
        <f>D64-E64</f>
        <v>445</v>
      </c>
      <c r="G64" s="398">
        <v>45</v>
      </c>
      <c r="H64" s="398">
        <f>F64-G64</f>
        <v>400</v>
      </c>
      <c r="I64" s="399"/>
      <c r="J64" s="412"/>
      <c r="K64" s="401">
        <f t="shared" si="2"/>
        <v>445</v>
      </c>
    </row>
    <row r="65" spans="1:11" ht="45.75" customHeight="1">
      <c r="A65" s="405" t="s">
        <v>77</v>
      </c>
      <c r="B65" s="406" t="s">
        <v>843</v>
      </c>
      <c r="C65" s="713"/>
      <c r="D65" s="397">
        <v>5000</v>
      </c>
      <c r="E65" s="397">
        <v>0</v>
      </c>
      <c r="F65" s="397">
        <f>D65-E65</f>
        <v>5000</v>
      </c>
      <c r="G65" s="398"/>
      <c r="H65" s="398">
        <f>F65-G65</f>
        <v>5000</v>
      </c>
      <c r="I65" s="399"/>
      <c r="K65" s="401">
        <f t="shared" si="2"/>
        <v>5000</v>
      </c>
    </row>
    <row r="66" spans="1:11" ht="24.75" customHeight="1">
      <c r="A66" s="405" t="s">
        <v>733</v>
      </c>
      <c r="B66" s="406" t="s">
        <v>257</v>
      </c>
      <c r="C66" s="403"/>
      <c r="D66" s="397">
        <f>D67+D72+D92</f>
        <v>47565</v>
      </c>
      <c r="E66" s="397">
        <f>E67+E72+E92</f>
        <v>1790</v>
      </c>
      <c r="F66" s="397">
        <f>D66-E66</f>
        <v>45775</v>
      </c>
      <c r="G66" s="398">
        <f>G67+G72+G92</f>
        <v>0</v>
      </c>
      <c r="H66" s="398">
        <f>H67+H72+H92</f>
        <v>45675</v>
      </c>
      <c r="I66" s="399"/>
      <c r="J66" s="401" t="e">
        <f>'[1]QLNN'!W14</f>
        <v>#REF!</v>
      </c>
      <c r="K66" s="401">
        <f t="shared" si="2"/>
        <v>45775</v>
      </c>
    </row>
    <row r="67" spans="1:11" ht="27" customHeight="1">
      <c r="A67" s="405" t="s">
        <v>757</v>
      </c>
      <c r="B67" s="406" t="s">
        <v>383</v>
      </c>
      <c r="C67" s="403"/>
      <c r="D67" s="397">
        <f>SUM(D68:D71)</f>
        <v>33442</v>
      </c>
      <c r="E67" s="397">
        <f>SUM(E68:E71)</f>
        <v>1336</v>
      </c>
      <c r="F67" s="397">
        <f>SUM(F68:F71)</f>
        <v>32106</v>
      </c>
      <c r="G67" s="398">
        <f>SUM(G68:G71)</f>
        <v>0</v>
      </c>
      <c r="H67" s="398">
        <f>SUM(H68:H71)</f>
        <v>32106</v>
      </c>
      <c r="I67" s="399"/>
      <c r="K67" s="401">
        <f t="shared" si="2"/>
        <v>32106</v>
      </c>
    </row>
    <row r="68" spans="1:11" ht="35.25" customHeight="1">
      <c r="A68" s="409"/>
      <c r="B68" s="410" t="s">
        <v>8</v>
      </c>
      <c r="C68" s="713"/>
      <c r="D68" s="411">
        <f>QLNN!G36</f>
        <v>21379</v>
      </c>
      <c r="E68" s="411">
        <v>917</v>
      </c>
      <c r="F68" s="411">
        <f>D68-E68</f>
        <v>20462</v>
      </c>
      <c r="G68" s="398"/>
      <c r="H68" s="398">
        <f>F68-G68</f>
        <v>20462</v>
      </c>
      <c r="I68" s="399"/>
      <c r="J68" s="401"/>
      <c r="K68" s="401">
        <f t="shared" si="2"/>
        <v>20462</v>
      </c>
    </row>
    <row r="69" spans="1:11" ht="26.25" customHeight="1">
      <c r="A69" s="409"/>
      <c r="B69" s="410" t="s">
        <v>9</v>
      </c>
      <c r="C69" s="713"/>
      <c r="D69" s="411">
        <v>6743</v>
      </c>
      <c r="E69" s="411">
        <v>237</v>
      </c>
      <c r="F69" s="411">
        <f>D69-E69</f>
        <v>6506</v>
      </c>
      <c r="G69" s="398"/>
      <c r="H69" s="398">
        <f>F69-G69</f>
        <v>6506</v>
      </c>
      <c r="I69" s="399"/>
      <c r="K69" s="401">
        <f t="shared" si="2"/>
        <v>6506</v>
      </c>
    </row>
    <row r="70" spans="1:11" ht="36" customHeight="1">
      <c r="A70" s="409"/>
      <c r="B70" s="410" t="s">
        <v>10</v>
      </c>
      <c r="C70" s="713"/>
      <c r="D70" s="411">
        <v>3429</v>
      </c>
      <c r="E70" s="411">
        <v>125</v>
      </c>
      <c r="F70" s="411">
        <f>D70-E70</f>
        <v>3304</v>
      </c>
      <c r="G70" s="398"/>
      <c r="H70" s="398">
        <f>F70-G70</f>
        <v>3304</v>
      </c>
      <c r="I70" s="399"/>
      <c r="K70" s="401">
        <f t="shared" si="2"/>
        <v>3304</v>
      </c>
    </row>
    <row r="71" spans="1:11" ht="24" customHeight="1">
      <c r="A71" s="409"/>
      <c r="B71" s="410" t="s">
        <v>11</v>
      </c>
      <c r="C71" s="713"/>
      <c r="D71" s="411">
        <v>1891</v>
      </c>
      <c r="E71" s="411">
        <v>57</v>
      </c>
      <c r="F71" s="411">
        <f>D71-E71</f>
        <v>1834</v>
      </c>
      <c r="G71" s="398"/>
      <c r="H71" s="398">
        <f>F71-G71</f>
        <v>1834</v>
      </c>
      <c r="I71" s="399"/>
      <c r="K71" s="401">
        <f t="shared" si="2"/>
        <v>1834</v>
      </c>
    </row>
    <row r="72" spans="1:13" ht="24" customHeight="1">
      <c r="A72" s="405" t="s">
        <v>758</v>
      </c>
      <c r="B72" s="406" t="s">
        <v>384</v>
      </c>
      <c r="C72" s="403"/>
      <c r="D72" s="397">
        <f>SUM(D73:D91)-D74</f>
        <v>9944</v>
      </c>
      <c r="E72" s="397">
        <f>SUM(E73:E91)-E74</f>
        <v>36</v>
      </c>
      <c r="F72" s="397">
        <f>SUM(F73:F91)-F74</f>
        <v>9908</v>
      </c>
      <c r="G72" s="398">
        <f>SUM(G73:G91)-G74</f>
        <v>0</v>
      </c>
      <c r="H72" s="398">
        <f>SUM(H73:H91)-H74</f>
        <v>9808</v>
      </c>
      <c r="I72" s="399"/>
      <c r="J72" s="401">
        <f>'[1]DAC THU'!H9</f>
        <v>0</v>
      </c>
      <c r="K72" s="401">
        <f t="shared" si="2"/>
        <v>9908</v>
      </c>
      <c r="L72" s="401">
        <f>'[1]QLNN'!S14</f>
        <v>11061</v>
      </c>
      <c r="M72" s="401">
        <f>F72-L72</f>
        <v>-1153</v>
      </c>
    </row>
    <row r="73" spans="1:11" s="379" customFormat="1" ht="21" customHeight="1">
      <c r="A73" s="409"/>
      <c r="B73" s="410" t="s">
        <v>12</v>
      </c>
      <c r="C73" s="713"/>
      <c r="D73" s="411">
        <f>'DAC THU'!D11</f>
        <v>1638</v>
      </c>
      <c r="E73" s="411"/>
      <c r="F73" s="411">
        <f>D73-E73</f>
        <v>1638</v>
      </c>
      <c r="G73" s="398"/>
      <c r="H73" s="398">
        <f aca="true" t="shared" si="5" ref="H73:H91">F73-G73</f>
        <v>1638</v>
      </c>
      <c r="I73" s="399">
        <f>10822-1261</f>
        <v>9561</v>
      </c>
      <c r="K73" s="401">
        <f t="shared" si="2"/>
        <v>1638</v>
      </c>
    </row>
    <row r="74" spans="1:11" s="379" customFormat="1" ht="21" customHeight="1">
      <c r="A74" s="409"/>
      <c r="B74" s="410" t="s">
        <v>13</v>
      </c>
      <c r="C74" s="715"/>
      <c r="D74" s="421">
        <f>SUM(D75:D80)</f>
        <v>362</v>
      </c>
      <c r="E74" s="421">
        <f>SUM(E75:E80)</f>
        <v>36</v>
      </c>
      <c r="F74" s="421">
        <f>SUM(F75:F80)</f>
        <v>326</v>
      </c>
      <c r="G74" s="398"/>
      <c r="H74" s="398">
        <f t="shared" si="5"/>
        <v>326</v>
      </c>
      <c r="I74" s="399"/>
      <c r="K74" s="401">
        <f t="shared" si="2"/>
        <v>326</v>
      </c>
    </row>
    <row r="75" spans="1:11" s="379" customFormat="1" ht="21" customHeight="1">
      <c r="A75" s="409"/>
      <c r="B75" s="723" t="s">
        <v>671</v>
      </c>
      <c r="C75" s="715"/>
      <c r="D75" s="417">
        <f>'PL 05'!T14</f>
        <v>101</v>
      </c>
      <c r="E75" s="417">
        <v>10</v>
      </c>
      <c r="F75" s="417">
        <f aca="true" t="shared" si="6" ref="F75:F92">D75-E75</f>
        <v>91</v>
      </c>
      <c r="G75" s="398"/>
      <c r="H75" s="398">
        <f t="shared" si="5"/>
        <v>91</v>
      </c>
      <c r="I75" s="399"/>
      <c r="K75" s="401">
        <f t="shared" si="2"/>
        <v>91</v>
      </c>
    </row>
    <row r="76" spans="1:11" s="379" customFormat="1" ht="21" customHeight="1">
      <c r="A76" s="409"/>
      <c r="B76" s="723" t="s">
        <v>672</v>
      </c>
      <c r="C76" s="715"/>
      <c r="D76" s="417">
        <f>'PL 05'!T15</f>
        <v>102</v>
      </c>
      <c r="E76" s="417">
        <v>10</v>
      </c>
      <c r="F76" s="417">
        <f t="shared" si="6"/>
        <v>92</v>
      </c>
      <c r="G76" s="398"/>
      <c r="H76" s="398">
        <f t="shared" si="5"/>
        <v>92</v>
      </c>
      <c r="I76" s="399"/>
      <c r="K76" s="401">
        <f t="shared" si="2"/>
        <v>92</v>
      </c>
    </row>
    <row r="77" spans="1:11" s="379" customFormat="1" ht="21" customHeight="1">
      <c r="A77" s="409"/>
      <c r="B77" s="723" t="s">
        <v>673</v>
      </c>
      <c r="C77" s="715"/>
      <c r="D77" s="417">
        <f>'PL 05'!T12</f>
        <v>38</v>
      </c>
      <c r="E77" s="417">
        <v>4</v>
      </c>
      <c r="F77" s="417">
        <f t="shared" si="6"/>
        <v>34</v>
      </c>
      <c r="G77" s="398"/>
      <c r="H77" s="398">
        <f t="shared" si="5"/>
        <v>34</v>
      </c>
      <c r="I77" s="399"/>
      <c r="K77" s="401">
        <f t="shared" si="2"/>
        <v>34</v>
      </c>
    </row>
    <row r="78" spans="1:11" s="379" customFormat="1" ht="21" customHeight="1">
      <c r="A78" s="409"/>
      <c r="B78" s="723" t="s">
        <v>674</v>
      </c>
      <c r="C78" s="715"/>
      <c r="D78" s="417">
        <f>'PL 05'!T13</f>
        <v>83</v>
      </c>
      <c r="E78" s="417">
        <v>8</v>
      </c>
      <c r="F78" s="417">
        <f t="shared" si="6"/>
        <v>75</v>
      </c>
      <c r="G78" s="398"/>
      <c r="H78" s="398">
        <f t="shared" si="5"/>
        <v>75</v>
      </c>
      <c r="I78" s="399"/>
      <c r="K78" s="401">
        <f t="shared" si="2"/>
        <v>75</v>
      </c>
    </row>
    <row r="79" spans="1:11" s="379" customFormat="1" ht="37.5" customHeight="1">
      <c r="A79" s="409"/>
      <c r="B79" s="419" t="s">
        <v>72</v>
      </c>
      <c r="C79" s="715"/>
      <c r="D79" s="417">
        <f>'[1]PL 05'!T54</f>
        <v>19</v>
      </c>
      <c r="E79" s="417">
        <f>'[1]PL 05'!U54</f>
        <v>2</v>
      </c>
      <c r="F79" s="417">
        <f t="shared" si="6"/>
        <v>17</v>
      </c>
      <c r="G79" s="398"/>
      <c r="H79" s="398">
        <f t="shared" si="5"/>
        <v>17</v>
      </c>
      <c r="I79" s="399"/>
      <c r="K79" s="401">
        <f t="shared" si="2"/>
        <v>17</v>
      </c>
    </row>
    <row r="80" spans="1:11" s="379" customFormat="1" ht="38.25" customHeight="1">
      <c r="A80" s="409"/>
      <c r="B80" s="425" t="s">
        <v>760</v>
      </c>
      <c r="C80" s="715"/>
      <c r="D80" s="417">
        <f>'[1]PL 05'!T55</f>
        <v>19</v>
      </c>
      <c r="E80" s="417">
        <f>'[1]PL 05'!U55</f>
        <v>2</v>
      </c>
      <c r="F80" s="417">
        <f t="shared" si="6"/>
        <v>17</v>
      </c>
      <c r="G80" s="398"/>
      <c r="H80" s="398">
        <f t="shared" si="5"/>
        <v>17</v>
      </c>
      <c r="I80" s="399"/>
      <c r="K80" s="401">
        <f t="shared" si="2"/>
        <v>17</v>
      </c>
    </row>
    <row r="81" spans="1:11" s="379" customFormat="1" ht="27.75" customHeight="1">
      <c r="A81" s="409"/>
      <c r="B81" s="410" t="s">
        <v>14</v>
      </c>
      <c r="C81" s="715"/>
      <c r="D81" s="411">
        <f>'DAC THU'!D13</f>
        <v>1300</v>
      </c>
      <c r="E81" s="411">
        <v>0</v>
      </c>
      <c r="F81" s="411">
        <f t="shared" si="6"/>
        <v>1300</v>
      </c>
      <c r="G81" s="398"/>
      <c r="H81" s="398">
        <f t="shared" si="5"/>
        <v>1300</v>
      </c>
      <c r="I81" s="399"/>
      <c r="K81" s="401">
        <f t="shared" si="2"/>
        <v>1300</v>
      </c>
    </row>
    <row r="82" spans="1:11" s="379" customFormat="1" ht="24" customHeight="1">
      <c r="A82" s="409"/>
      <c r="B82" s="410" t="s">
        <v>15</v>
      </c>
      <c r="C82" s="715"/>
      <c r="D82" s="411">
        <f>'DAC THU'!D24</f>
        <v>284</v>
      </c>
      <c r="E82" s="411"/>
      <c r="F82" s="411">
        <f t="shared" si="6"/>
        <v>284</v>
      </c>
      <c r="G82" s="398"/>
      <c r="H82" s="398">
        <f t="shared" si="5"/>
        <v>284</v>
      </c>
      <c r="I82" s="399"/>
      <c r="K82" s="401">
        <f t="shared" si="2"/>
        <v>284</v>
      </c>
    </row>
    <row r="83" spans="1:11" s="379" customFormat="1" ht="21.75" customHeight="1">
      <c r="A83" s="409"/>
      <c r="B83" s="410" t="s">
        <v>16</v>
      </c>
      <c r="C83" s="411"/>
      <c r="D83" s="411">
        <f>'[1]DAC THU'!D31</f>
        <v>2000</v>
      </c>
      <c r="E83" s="411"/>
      <c r="F83" s="411">
        <f t="shared" si="6"/>
        <v>2000</v>
      </c>
      <c r="G83" s="398"/>
      <c r="H83" s="398">
        <f t="shared" si="5"/>
        <v>2000</v>
      </c>
      <c r="I83" s="399"/>
      <c r="K83" s="401">
        <f t="shared" si="2"/>
        <v>2000</v>
      </c>
    </row>
    <row r="84" spans="1:11" s="379" customFormat="1" ht="24.75" customHeight="1">
      <c r="A84" s="409"/>
      <c r="B84" s="410" t="s">
        <v>17</v>
      </c>
      <c r="C84" s="411"/>
      <c r="D84" s="411">
        <f>'[1]DAC THU'!D32</f>
        <v>1500</v>
      </c>
      <c r="E84" s="411"/>
      <c r="F84" s="411">
        <f t="shared" si="6"/>
        <v>1500</v>
      </c>
      <c r="G84" s="398"/>
      <c r="H84" s="398">
        <f t="shared" si="5"/>
        <v>1500</v>
      </c>
      <c r="I84" s="399"/>
      <c r="K84" s="401">
        <f t="shared" si="2"/>
        <v>1500</v>
      </c>
    </row>
    <row r="85" spans="1:11" s="379" customFormat="1" ht="42" customHeight="1">
      <c r="A85" s="409"/>
      <c r="B85" s="410" t="s">
        <v>823</v>
      </c>
      <c r="C85" s="411"/>
      <c r="D85" s="411">
        <f>'DAC THU'!D36</f>
        <v>300</v>
      </c>
      <c r="E85" s="411"/>
      <c r="F85" s="411">
        <f t="shared" si="6"/>
        <v>300</v>
      </c>
      <c r="G85" s="398"/>
      <c r="H85" s="398">
        <f t="shared" si="5"/>
        <v>300</v>
      </c>
      <c r="I85" s="399"/>
      <c r="K85" s="401">
        <f t="shared" si="2"/>
        <v>300</v>
      </c>
    </row>
    <row r="86" spans="1:11" s="379" customFormat="1" ht="21" customHeight="1">
      <c r="A86" s="409"/>
      <c r="B86" s="410" t="s">
        <v>18</v>
      </c>
      <c r="C86" s="724"/>
      <c r="D86" s="411">
        <f>'[1]DAC THU'!D36</f>
        <v>60</v>
      </c>
      <c r="E86" s="411"/>
      <c r="F86" s="411">
        <f t="shared" si="6"/>
        <v>60</v>
      </c>
      <c r="G86" s="398"/>
      <c r="H86" s="398">
        <f t="shared" si="5"/>
        <v>60</v>
      </c>
      <c r="I86" s="399"/>
      <c r="K86" s="401">
        <f t="shared" si="2"/>
        <v>60</v>
      </c>
    </row>
    <row r="87" spans="1:11" ht="23.25" customHeight="1">
      <c r="A87" s="409"/>
      <c r="B87" s="410" t="s">
        <v>19</v>
      </c>
      <c r="C87" s="724"/>
      <c r="D87" s="411">
        <f>'[1]DAC THU'!D37</f>
        <v>2000</v>
      </c>
      <c r="E87" s="411"/>
      <c r="F87" s="411">
        <f t="shared" si="6"/>
        <v>2000</v>
      </c>
      <c r="G87" s="398"/>
      <c r="H87" s="398">
        <f t="shared" si="5"/>
        <v>2000</v>
      </c>
      <c r="I87" s="399"/>
      <c r="K87" s="401">
        <f t="shared" si="2"/>
        <v>2000</v>
      </c>
    </row>
    <row r="88" spans="1:11" s="379" customFormat="1" ht="21" customHeight="1">
      <c r="A88" s="409"/>
      <c r="B88" s="410" t="s">
        <v>20</v>
      </c>
      <c r="C88" s="411"/>
      <c r="D88" s="411">
        <f>'[1]DAC THU'!D39</f>
        <v>200</v>
      </c>
      <c r="E88" s="411"/>
      <c r="F88" s="411">
        <f t="shared" si="6"/>
        <v>200</v>
      </c>
      <c r="G88" s="398"/>
      <c r="H88" s="398">
        <f t="shared" si="5"/>
        <v>200</v>
      </c>
      <c r="I88" s="399"/>
      <c r="K88" s="401">
        <f t="shared" si="2"/>
        <v>200</v>
      </c>
    </row>
    <row r="89" spans="1:11" s="379" customFormat="1" ht="21" customHeight="1">
      <c r="A89" s="409"/>
      <c r="B89" s="410" t="s">
        <v>21</v>
      </c>
      <c r="C89" s="411"/>
      <c r="D89" s="411">
        <f>'[1]DAC THU'!D41</f>
        <v>100</v>
      </c>
      <c r="E89" s="411"/>
      <c r="F89" s="411">
        <f t="shared" si="6"/>
        <v>100</v>
      </c>
      <c r="G89" s="398"/>
      <c r="H89" s="398">
        <f t="shared" si="5"/>
        <v>100</v>
      </c>
      <c r="I89" s="399"/>
      <c r="K89" s="401">
        <f t="shared" si="2"/>
        <v>100</v>
      </c>
    </row>
    <row r="90" spans="1:11" s="379" customFormat="1" ht="36" customHeight="1">
      <c r="A90" s="409"/>
      <c r="B90" s="725" t="s">
        <v>824</v>
      </c>
      <c r="C90" s="411"/>
      <c r="D90" s="411">
        <v>100</v>
      </c>
      <c r="E90" s="411"/>
      <c r="F90" s="411">
        <f>D90-E90</f>
        <v>100</v>
      </c>
      <c r="G90" s="398"/>
      <c r="H90" s="398"/>
      <c r="I90" s="399"/>
      <c r="K90" s="401"/>
    </row>
    <row r="91" spans="1:11" s="379" customFormat="1" ht="63" customHeight="1">
      <c r="A91" s="409"/>
      <c r="B91" s="410" t="s">
        <v>825</v>
      </c>
      <c r="C91" s="411"/>
      <c r="D91" s="411">
        <v>100</v>
      </c>
      <c r="E91" s="411"/>
      <c r="F91" s="411">
        <f t="shared" si="6"/>
        <v>100</v>
      </c>
      <c r="G91" s="398"/>
      <c r="H91" s="398">
        <f t="shared" si="5"/>
        <v>100</v>
      </c>
      <c r="I91" s="399"/>
      <c r="K91" s="401">
        <f t="shared" si="2"/>
        <v>100</v>
      </c>
    </row>
    <row r="92" spans="1:11" s="726" customFormat="1" ht="35.25" customHeight="1">
      <c r="A92" s="405" t="s">
        <v>759</v>
      </c>
      <c r="B92" s="406" t="s">
        <v>848</v>
      </c>
      <c r="C92" s="397"/>
      <c r="D92" s="397">
        <v>4179</v>
      </c>
      <c r="E92" s="397">
        <v>418</v>
      </c>
      <c r="F92" s="397">
        <f t="shared" si="6"/>
        <v>3761</v>
      </c>
      <c r="G92" s="398"/>
      <c r="H92" s="398">
        <f>F92-G92</f>
        <v>3761</v>
      </c>
      <c r="I92" s="399"/>
      <c r="K92" s="401">
        <f t="shared" si="2"/>
        <v>3761</v>
      </c>
    </row>
    <row r="93" spans="1:11" s="392" customFormat="1" ht="27" customHeight="1">
      <c r="A93" s="405" t="s">
        <v>734</v>
      </c>
      <c r="B93" s="406" t="s">
        <v>256</v>
      </c>
      <c r="C93" s="403"/>
      <c r="D93" s="397">
        <f>D94+D95</f>
        <v>40728</v>
      </c>
      <c r="E93" s="397">
        <f>E94+E95</f>
        <v>186</v>
      </c>
      <c r="F93" s="397">
        <f>F94+F95</f>
        <v>40542</v>
      </c>
      <c r="G93" s="398">
        <f>G94+G95</f>
        <v>0</v>
      </c>
      <c r="H93" s="398">
        <f>H94+H95</f>
        <v>40542</v>
      </c>
      <c r="I93" s="399"/>
      <c r="J93" s="393" t="e">
        <f>'[1]DVI SN'!#REF!</f>
        <v>#REF!</v>
      </c>
      <c r="K93" s="401">
        <f aca="true" t="shared" si="7" ref="K93:K124">D93-E93</f>
        <v>40542</v>
      </c>
    </row>
    <row r="94" spans="1:11" ht="21.75" customHeight="1">
      <c r="A94" s="405"/>
      <c r="B94" s="416" t="s">
        <v>389</v>
      </c>
      <c r="C94" s="722"/>
      <c r="D94" s="411">
        <v>38871</v>
      </c>
      <c r="E94" s="411">
        <v>0</v>
      </c>
      <c r="F94" s="411">
        <f>D94-E94</f>
        <v>38871</v>
      </c>
      <c r="G94" s="398"/>
      <c r="H94" s="398">
        <f>F94-G94</f>
        <v>38871</v>
      </c>
      <c r="I94" s="399"/>
      <c r="K94" s="401">
        <f t="shared" si="7"/>
        <v>38871</v>
      </c>
    </row>
    <row r="95" spans="1:11" ht="38.25" customHeight="1">
      <c r="A95" s="405"/>
      <c r="B95" s="416" t="s">
        <v>849</v>
      </c>
      <c r="C95" s="722"/>
      <c r="D95" s="411">
        <v>1857</v>
      </c>
      <c r="E95" s="411">
        <v>186</v>
      </c>
      <c r="F95" s="411">
        <f>D95-E95</f>
        <v>1671</v>
      </c>
      <c r="G95" s="398"/>
      <c r="H95" s="398">
        <f>F95-G95</f>
        <v>1671</v>
      </c>
      <c r="I95" s="399"/>
      <c r="J95" s="401"/>
      <c r="K95" s="401">
        <f t="shared" si="7"/>
        <v>1671</v>
      </c>
    </row>
    <row r="96" spans="1:11" ht="23.25" customHeight="1">
      <c r="A96" s="405" t="s">
        <v>735</v>
      </c>
      <c r="B96" s="406" t="s">
        <v>255</v>
      </c>
      <c r="C96" s="403"/>
      <c r="D96" s="397">
        <f>D97+D99</f>
        <v>11764</v>
      </c>
      <c r="E96" s="397">
        <f>E97+E99</f>
        <v>1176.4</v>
      </c>
      <c r="F96" s="397">
        <f>F97+F99</f>
        <v>10587.6</v>
      </c>
      <c r="G96" s="398">
        <f>G97+G99</f>
        <v>0</v>
      </c>
      <c r="H96" s="398">
        <f>H97+H99</f>
        <v>10587.6</v>
      </c>
      <c r="I96" s="399"/>
      <c r="J96" s="401" t="e">
        <f>'[1]DVI SN'!#REF!+'[1]DVI SN'!#REF!</f>
        <v>#REF!</v>
      </c>
      <c r="K96" s="401">
        <f t="shared" si="7"/>
        <v>10587.6</v>
      </c>
    </row>
    <row r="97" spans="1:11" ht="23.25" customHeight="1">
      <c r="A97" s="409" t="s">
        <v>311</v>
      </c>
      <c r="B97" s="406" t="s">
        <v>844</v>
      </c>
      <c r="C97" s="713"/>
      <c r="D97" s="397">
        <f>D98</f>
        <v>1703</v>
      </c>
      <c r="E97" s="397">
        <f>E98</f>
        <v>170.3</v>
      </c>
      <c r="F97" s="397">
        <f>F98</f>
        <v>1532.7</v>
      </c>
      <c r="G97" s="398">
        <f>G98</f>
        <v>0</v>
      </c>
      <c r="H97" s="398">
        <f>H98</f>
        <v>1532.7</v>
      </c>
      <c r="I97" s="399"/>
      <c r="K97" s="401">
        <f t="shared" si="7"/>
        <v>1532.7</v>
      </c>
    </row>
    <row r="98" spans="1:11" ht="36" customHeight="1">
      <c r="A98" s="865"/>
      <c r="B98" s="866" t="s">
        <v>853</v>
      </c>
      <c r="C98" s="867"/>
      <c r="D98" s="868">
        <v>1703</v>
      </c>
      <c r="E98" s="868">
        <f>D98*10%</f>
        <v>170.3</v>
      </c>
      <c r="F98" s="868">
        <f>D98-E98</f>
        <v>1532.7</v>
      </c>
      <c r="G98" s="869"/>
      <c r="H98" s="869">
        <f>F98-G98</f>
        <v>1532.7</v>
      </c>
      <c r="I98" s="870"/>
      <c r="K98" s="401">
        <f t="shared" si="7"/>
        <v>1532.7</v>
      </c>
    </row>
    <row r="99" spans="1:11" ht="21.75" customHeight="1">
      <c r="A99" s="871" t="s">
        <v>312</v>
      </c>
      <c r="B99" s="872" t="s">
        <v>268</v>
      </c>
      <c r="C99" s="867"/>
      <c r="D99" s="873">
        <f>SUM(D100:D101)</f>
        <v>10061</v>
      </c>
      <c r="E99" s="873">
        <f>SUM(E100:E101)</f>
        <v>1006.1</v>
      </c>
      <c r="F99" s="873">
        <f>SUM(F100:F101)</f>
        <v>9054.9</v>
      </c>
      <c r="G99" s="869">
        <f>SUM(G100:G101)</f>
        <v>0</v>
      </c>
      <c r="H99" s="869">
        <f>SUM(H100:H101)</f>
        <v>9054.9</v>
      </c>
      <c r="I99" s="870"/>
      <c r="K99" s="401">
        <f t="shared" si="7"/>
        <v>9054.9</v>
      </c>
    </row>
    <row r="100" spans="1:11" ht="24.75" customHeight="1" hidden="1">
      <c r="A100" s="865"/>
      <c r="B100" s="866" t="s">
        <v>390</v>
      </c>
      <c r="C100" s="874"/>
      <c r="D100" s="868"/>
      <c r="E100" s="868"/>
      <c r="F100" s="868">
        <f>D100-E100</f>
        <v>0</v>
      </c>
      <c r="G100" s="869"/>
      <c r="H100" s="869">
        <f>F100-G100</f>
        <v>0</v>
      </c>
      <c r="I100" s="870"/>
      <c r="K100" s="401">
        <f t="shared" si="7"/>
        <v>0</v>
      </c>
    </row>
    <row r="101" spans="1:11" ht="34.5" customHeight="1">
      <c r="A101" s="871"/>
      <c r="B101" s="410" t="s">
        <v>866</v>
      </c>
      <c r="C101" s="873"/>
      <c r="D101" s="868">
        <v>10061</v>
      </c>
      <c r="E101" s="868">
        <f>D101*10%</f>
        <v>1006.1</v>
      </c>
      <c r="F101" s="868">
        <f>D101-E101</f>
        <v>9054.9</v>
      </c>
      <c r="G101" s="869"/>
      <c r="H101" s="869">
        <f>F101-G101</f>
        <v>9054.9</v>
      </c>
      <c r="I101" s="870"/>
      <c r="K101" s="401">
        <f t="shared" si="7"/>
        <v>9054.9</v>
      </c>
    </row>
    <row r="102" spans="1:18" ht="24.75" customHeight="1">
      <c r="A102" s="405" t="s">
        <v>736</v>
      </c>
      <c r="B102" s="406" t="s">
        <v>576</v>
      </c>
      <c r="C102" s="713"/>
      <c r="D102" s="397">
        <f>D103</f>
        <v>114816</v>
      </c>
      <c r="E102" s="397">
        <f>E103</f>
        <v>3130</v>
      </c>
      <c r="F102" s="397">
        <f>F103</f>
        <v>111686</v>
      </c>
      <c r="G102" s="398">
        <f>G103</f>
        <v>0</v>
      </c>
      <c r="H102" s="398">
        <f>H103</f>
        <v>111686</v>
      </c>
      <c r="I102" s="399"/>
      <c r="K102" s="401">
        <f t="shared" si="7"/>
        <v>111686</v>
      </c>
      <c r="N102" s="401"/>
      <c r="P102" s="401"/>
      <c r="Q102" s="401"/>
      <c r="R102" s="401"/>
    </row>
    <row r="103" spans="1:11" ht="24.75" customHeight="1">
      <c r="A103" s="409"/>
      <c r="B103" s="416" t="s">
        <v>380</v>
      </c>
      <c r="C103" s="713"/>
      <c r="D103" s="411">
        <v>114816</v>
      </c>
      <c r="E103" s="411">
        <v>3130</v>
      </c>
      <c r="F103" s="411">
        <f>D103-E103</f>
        <v>111686</v>
      </c>
      <c r="G103" s="398"/>
      <c r="H103" s="398">
        <f>F103-G103</f>
        <v>111686</v>
      </c>
      <c r="I103" s="399"/>
      <c r="K103" s="401">
        <f t="shared" si="7"/>
        <v>111686</v>
      </c>
    </row>
    <row r="104" spans="1:11" ht="24.75" customHeight="1">
      <c r="A104" s="405" t="s">
        <v>737</v>
      </c>
      <c r="B104" s="406" t="s">
        <v>486</v>
      </c>
      <c r="C104" s="403"/>
      <c r="D104" s="397">
        <f>D105+D116</f>
        <v>10912.2</v>
      </c>
      <c r="E104" s="397">
        <f>E105+E116</f>
        <v>883.7</v>
      </c>
      <c r="F104" s="397">
        <f>F105+F116</f>
        <v>10028.5</v>
      </c>
      <c r="G104" s="398" t="e">
        <f>#REF!+G105+G116</f>
        <v>#REF!</v>
      </c>
      <c r="H104" s="398" t="e">
        <f>#REF!+H105+H116</f>
        <v>#REF!</v>
      </c>
      <c r="I104" s="399"/>
      <c r="K104" s="401">
        <f t="shared" si="7"/>
        <v>10028.5</v>
      </c>
    </row>
    <row r="105" spans="1:11" ht="27" customHeight="1">
      <c r="A105" s="409" t="s">
        <v>311</v>
      </c>
      <c r="B105" s="416" t="s">
        <v>289</v>
      </c>
      <c r="C105" s="715"/>
      <c r="D105" s="421">
        <f>D106+D107+D108+D109</f>
        <v>2075.2</v>
      </c>
      <c r="E105" s="421"/>
      <c r="F105" s="421">
        <f aca="true" t="shared" si="8" ref="F105:F115">D105-E105</f>
        <v>2075.2</v>
      </c>
      <c r="G105" s="398"/>
      <c r="H105" s="398">
        <f aca="true" t="shared" si="9" ref="H105:H116">F105-G105</f>
        <v>2075.2</v>
      </c>
      <c r="I105" s="399"/>
      <c r="J105" s="401">
        <f>F105+J114</f>
        <v>2075.2</v>
      </c>
      <c r="K105" s="401">
        <f t="shared" si="7"/>
        <v>2075.2</v>
      </c>
    </row>
    <row r="106" spans="1:12" ht="30" customHeight="1">
      <c r="A106" s="409"/>
      <c r="B106" s="728" t="s">
        <v>22</v>
      </c>
      <c r="C106" s="713"/>
      <c r="D106" s="411">
        <f>ATGT!F14</f>
        <v>1670.2</v>
      </c>
      <c r="E106" s="411"/>
      <c r="F106" s="411">
        <f t="shared" si="8"/>
        <v>1670.2</v>
      </c>
      <c r="G106" s="398"/>
      <c r="H106" s="398">
        <f t="shared" si="9"/>
        <v>1670.2</v>
      </c>
      <c r="I106" s="399"/>
      <c r="K106" s="401">
        <f t="shared" si="7"/>
        <v>1670.2</v>
      </c>
      <c r="L106" s="401">
        <f>F105+118</f>
        <v>2193.2</v>
      </c>
    </row>
    <row r="107" spans="1:11" ht="33" customHeight="1">
      <c r="A107" s="409"/>
      <c r="B107" s="728" t="s">
        <v>826</v>
      </c>
      <c r="C107" s="722"/>
      <c r="D107" s="411">
        <f>ATGT!F28</f>
        <v>100</v>
      </c>
      <c r="E107" s="411"/>
      <c r="F107" s="411">
        <f t="shared" si="8"/>
        <v>100</v>
      </c>
      <c r="G107" s="398"/>
      <c r="H107" s="398">
        <f t="shared" si="9"/>
        <v>100</v>
      </c>
      <c r="I107" s="399"/>
      <c r="K107" s="401">
        <f t="shared" si="7"/>
        <v>100</v>
      </c>
    </row>
    <row r="108" spans="1:11" ht="30.75" customHeight="1">
      <c r="A108" s="409"/>
      <c r="B108" s="728" t="s">
        <v>827</v>
      </c>
      <c r="C108" s="722"/>
      <c r="D108" s="411">
        <f>ATGT!F31</f>
        <v>100</v>
      </c>
      <c r="E108" s="411"/>
      <c r="F108" s="411">
        <f t="shared" si="8"/>
        <v>100</v>
      </c>
      <c r="G108" s="398"/>
      <c r="H108" s="398">
        <f t="shared" si="9"/>
        <v>100</v>
      </c>
      <c r="I108" s="399"/>
      <c r="K108" s="401">
        <f t="shared" si="7"/>
        <v>100</v>
      </c>
    </row>
    <row r="109" spans="1:11" ht="18" customHeight="1">
      <c r="A109" s="409"/>
      <c r="B109" s="728" t="s">
        <v>23</v>
      </c>
      <c r="C109" s="722"/>
      <c r="D109" s="421">
        <f>SUM(D110:D115)</f>
        <v>205</v>
      </c>
      <c r="E109" s="421"/>
      <c r="F109" s="421">
        <f t="shared" si="8"/>
        <v>205</v>
      </c>
      <c r="G109" s="398"/>
      <c r="H109" s="398">
        <f t="shared" si="9"/>
        <v>205</v>
      </c>
      <c r="I109" s="399"/>
      <c r="K109" s="401">
        <f t="shared" si="7"/>
        <v>205</v>
      </c>
    </row>
    <row r="110" spans="1:11" ht="16.5">
      <c r="A110" s="409"/>
      <c r="B110" s="729" t="s">
        <v>707</v>
      </c>
      <c r="C110" s="730"/>
      <c r="D110" s="417">
        <f>ATGT!F35</f>
        <v>50</v>
      </c>
      <c r="E110" s="417"/>
      <c r="F110" s="411">
        <f t="shared" si="8"/>
        <v>50</v>
      </c>
      <c r="G110" s="398"/>
      <c r="H110" s="398">
        <f t="shared" si="9"/>
        <v>50</v>
      </c>
      <c r="I110" s="399"/>
      <c r="K110" s="401">
        <f t="shared" si="7"/>
        <v>50</v>
      </c>
    </row>
    <row r="111" spans="1:15" ht="16.5">
      <c r="A111" s="409"/>
      <c r="B111" s="729" t="s">
        <v>708</v>
      </c>
      <c r="C111" s="730"/>
      <c r="D111" s="417">
        <f>'[1]ATGT'!F39</f>
        <v>40</v>
      </c>
      <c r="E111" s="417"/>
      <c r="F111" s="411">
        <f t="shared" si="8"/>
        <v>40</v>
      </c>
      <c r="G111" s="398"/>
      <c r="H111" s="398">
        <f t="shared" si="9"/>
        <v>40</v>
      </c>
      <c r="I111" s="399"/>
      <c r="K111" s="401">
        <f t="shared" si="7"/>
        <v>40</v>
      </c>
      <c r="O111" s="401"/>
    </row>
    <row r="112" spans="1:11" ht="31.5">
      <c r="A112" s="409"/>
      <c r="B112" s="729" t="s">
        <v>828</v>
      </c>
      <c r="C112" s="730"/>
      <c r="D112" s="417">
        <f>'[1]ATGT'!F40</f>
        <v>30</v>
      </c>
      <c r="E112" s="417"/>
      <c r="F112" s="411">
        <f t="shared" si="8"/>
        <v>30</v>
      </c>
      <c r="G112" s="398"/>
      <c r="H112" s="398">
        <f t="shared" si="9"/>
        <v>30</v>
      </c>
      <c r="I112" s="399"/>
      <c r="K112" s="401">
        <f t="shared" si="7"/>
        <v>30</v>
      </c>
    </row>
    <row r="113" spans="1:11" ht="16.5">
      <c r="A113" s="409"/>
      <c r="B113" s="729" t="s">
        <v>709</v>
      </c>
      <c r="C113" s="730"/>
      <c r="D113" s="417">
        <f>ATGT!F38</f>
        <v>35</v>
      </c>
      <c r="E113" s="417"/>
      <c r="F113" s="411">
        <f t="shared" si="8"/>
        <v>35</v>
      </c>
      <c r="G113" s="398"/>
      <c r="H113" s="398">
        <f t="shared" si="9"/>
        <v>35</v>
      </c>
      <c r="I113" s="399"/>
      <c r="K113" s="401">
        <f t="shared" si="7"/>
        <v>35</v>
      </c>
    </row>
    <row r="114" spans="1:11" ht="20.25" customHeight="1">
      <c r="A114" s="409"/>
      <c r="B114" s="729" t="s">
        <v>829</v>
      </c>
      <c r="C114" s="722"/>
      <c r="D114" s="417">
        <v>0</v>
      </c>
      <c r="E114" s="417"/>
      <c r="F114" s="411">
        <f t="shared" si="8"/>
        <v>0</v>
      </c>
      <c r="G114" s="398"/>
      <c r="H114" s="398">
        <f t="shared" si="9"/>
        <v>0</v>
      </c>
      <c r="I114" s="399"/>
      <c r="J114" s="429"/>
      <c r="K114" s="401">
        <f t="shared" si="7"/>
        <v>0</v>
      </c>
    </row>
    <row r="115" spans="1:11" ht="18.75" customHeight="1">
      <c r="A115" s="409"/>
      <c r="B115" s="731" t="s">
        <v>710</v>
      </c>
      <c r="C115" s="732"/>
      <c r="D115" s="417">
        <f>ATGT!F40</f>
        <v>50</v>
      </c>
      <c r="E115" s="417"/>
      <c r="F115" s="411">
        <f t="shared" si="8"/>
        <v>50</v>
      </c>
      <c r="G115" s="398"/>
      <c r="H115" s="398">
        <f t="shared" si="9"/>
        <v>50</v>
      </c>
      <c r="I115" s="399"/>
      <c r="K115" s="401">
        <f t="shared" si="7"/>
        <v>50</v>
      </c>
    </row>
    <row r="116" spans="1:13" ht="26.25" customHeight="1">
      <c r="A116" s="409" t="s">
        <v>312</v>
      </c>
      <c r="B116" s="416" t="s">
        <v>585</v>
      </c>
      <c r="C116" s="713"/>
      <c r="D116" s="411">
        <f>'DVI SN'!X75</f>
        <v>8837</v>
      </c>
      <c r="E116" s="411">
        <f>D116*10%</f>
        <v>883.7</v>
      </c>
      <c r="F116" s="411">
        <f>D116-E116</f>
        <v>7953.3</v>
      </c>
      <c r="G116" s="398"/>
      <c r="H116" s="398">
        <f t="shared" si="9"/>
        <v>7953.3</v>
      </c>
      <c r="I116" s="399"/>
      <c r="J116" s="402">
        <v>17032</v>
      </c>
      <c r="K116" s="401">
        <f t="shared" si="7"/>
        <v>7953.3</v>
      </c>
      <c r="L116" s="402">
        <v>1549</v>
      </c>
      <c r="M116" s="401">
        <f>E116-L116</f>
        <v>-665.3</v>
      </c>
    </row>
    <row r="117" spans="1:11" ht="38.25" customHeight="1">
      <c r="A117" s="405" t="s">
        <v>297</v>
      </c>
      <c r="B117" s="406" t="s">
        <v>845</v>
      </c>
      <c r="C117" s="403">
        <v>16500</v>
      </c>
      <c r="D117" s="397">
        <f>D118+D119</f>
        <v>16500</v>
      </c>
      <c r="E117" s="397">
        <f>E118+E119</f>
        <v>0</v>
      </c>
      <c r="F117" s="397">
        <f>F118+F119</f>
        <v>16500</v>
      </c>
      <c r="G117" s="398">
        <f>G118+G119</f>
        <v>0</v>
      </c>
      <c r="H117" s="398">
        <f>H118+H119</f>
        <v>16500</v>
      </c>
      <c r="I117" s="407"/>
      <c r="J117" s="733">
        <f>D117</f>
        <v>16500</v>
      </c>
      <c r="K117" s="401">
        <f t="shared" si="7"/>
        <v>16500</v>
      </c>
    </row>
    <row r="118" spans="1:11" ht="24.75" customHeight="1">
      <c r="A118" s="409">
        <v>1</v>
      </c>
      <c r="B118" s="734" t="s">
        <v>577</v>
      </c>
      <c r="C118" s="713"/>
      <c r="D118" s="411">
        <f>16500-D119</f>
        <v>14203</v>
      </c>
      <c r="E118" s="411"/>
      <c r="F118" s="411">
        <f>D118</f>
        <v>14203</v>
      </c>
      <c r="G118" s="398"/>
      <c r="H118" s="398">
        <f>F118-G118</f>
        <v>14203</v>
      </c>
      <c r="I118" s="407"/>
      <c r="J118" s="733"/>
      <c r="K118" s="401">
        <f t="shared" si="7"/>
        <v>14203</v>
      </c>
    </row>
    <row r="119" spans="1:11" ht="26.25" customHeight="1">
      <c r="A119" s="409">
        <v>2</v>
      </c>
      <c r="B119" s="734" t="s">
        <v>578</v>
      </c>
      <c r="C119" s="713"/>
      <c r="D119" s="411">
        <f>F119</f>
        <v>2297</v>
      </c>
      <c r="E119" s="411"/>
      <c r="F119" s="411">
        <f>PL07!E18</f>
        <v>2297</v>
      </c>
      <c r="G119" s="398"/>
      <c r="H119" s="398">
        <f>F119-G119</f>
        <v>2297</v>
      </c>
      <c r="I119" s="407"/>
      <c r="J119" s="733"/>
      <c r="K119" s="401">
        <f t="shared" si="7"/>
        <v>2297</v>
      </c>
    </row>
    <row r="120" spans="1:11" ht="27" customHeight="1">
      <c r="A120" s="405" t="s">
        <v>299</v>
      </c>
      <c r="B120" s="406" t="s">
        <v>392</v>
      </c>
      <c r="C120" s="403">
        <f aca="true" t="shared" si="10" ref="C120:H120">C121+C122</f>
        <v>146782</v>
      </c>
      <c r="D120" s="397">
        <f t="shared" si="10"/>
        <v>146782</v>
      </c>
      <c r="E120" s="397">
        <f t="shared" si="10"/>
        <v>0</v>
      </c>
      <c r="F120" s="397">
        <f t="shared" si="10"/>
        <v>146782</v>
      </c>
      <c r="G120" s="398">
        <f t="shared" si="10"/>
        <v>0</v>
      </c>
      <c r="H120" s="398">
        <f t="shared" si="10"/>
        <v>146782</v>
      </c>
      <c r="I120" s="407"/>
      <c r="J120" s="408">
        <v>88013</v>
      </c>
      <c r="K120" s="401">
        <f t="shared" si="7"/>
        <v>146782</v>
      </c>
    </row>
    <row r="121" spans="1:11" s="422" customFormat="1" ht="24" customHeight="1">
      <c r="A121" s="409">
        <v>1</v>
      </c>
      <c r="B121" s="416" t="s">
        <v>24</v>
      </c>
      <c r="C121" s="411">
        <v>72000</v>
      </c>
      <c r="D121" s="411">
        <v>72000</v>
      </c>
      <c r="E121" s="403"/>
      <c r="F121" s="411">
        <f>D121-E121</f>
        <v>72000</v>
      </c>
      <c r="G121" s="398"/>
      <c r="H121" s="427">
        <f>F121-G121</f>
        <v>72000</v>
      </c>
      <c r="I121" s="428"/>
      <c r="K121" s="401">
        <f t="shared" si="7"/>
        <v>72000</v>
      </c>
    </row>
    <row r="122" spans="1:11" s="422" customFormat="1" ht="24" customHeight="1">
      <c r="A122" s="409">
        <v>2</v>
      </c>
      <c r="B122" s="416" t="s">
        <v>407</v>
      </c>
      <c r="C122" s="411">
        <v>74782</v>
      </c>
      <c r="D122" s="411">
        <v>74782</v>
      </c>
      <c r="E122" s="403"/>
      <c r="F122" s="411">
        <f>D122-E122</f>
        <v>74782</v>
      </c>
      <c r="G122" s="398"/>
      <c r="H122" s="427">
        <f>F122-G122</f>
        <v>74782</v>
      </c>
      <c r="I122" s="428"/>
      <c r="K122" s="401">
        <f t="shared" si="7"/>
        <v>74782</v>
      </c>
    </row>
    <row r="123" spans="1:11" s="422" customFormat="1" ht="45" customHeight="1">
      <c r="A123" s="405" t="s">
        <v>364</v>
      </c>
      <c r="B123" s="406" t="s">
        <v>272</v>
      </c>
      <c r="C123" s="403"/>
      <c r="D123" s="397">
        <f>D124</f>
        <v>8319</v>
      </c>
      <c r="E123" s="397">
        <f>E124</f>
        <v>0</v>
      </c>
      <c r="F123" s="397">
        <f>F124</f>
        <v>8319</v>
      </c>
      <c r="G123" s="398">
        <f>G124</f>
        <v>0</v>
      </c>
      <c r="H123" s="398">
        <f>H124</f>
        <v>8319</v>
      </c>
      <c r="I123" s="399">
        <f>F123+F132</f>
        <v>20469</v>
      </c>
      <c r="K123" s="401">
        <f t="shared" si="7"/>
        <v>8319</v>
      </c>
    </row>
    <row r="124" spans="1:11" s="429" customFormat="1" ht="24" customHeight="1">
      <c r="A124" s="409">
        <v>1</v>
      </c>
      <c r="B124" s="734" t="s">
        <v>25</v>
      </c>
      <c r="C124" s="727"/>
      <c r="D124" s="735">
        <v>8319</v>
      </c>
      <c r="E124" s="411"/>
      <c r="F124" s="411">
        <f>D124-E124</f>
        <v>8319</v>
      </c>
      <c r="G124" s="430"/>
      <c r="H124" s="431">
        <f>F124-G124</f>
        <v>8319</v>
      </c>
      <c r="I124" s="432"/>
      <c r="J124" s="433"/>
      <c r="K124" s="401">
        <f t="shared" si="7"/>
        <v>8319</v>
      </c>
    </row>
    <row r="125" spans="1:11" s="429" customFormat="1" ht="21" customHeight="1" hidden="1">
      <c r="A125" s="405"/>
      <c r="B125" s="434" t="s">
        <v>59</v>
      </c>
      <c r="C125" s="435"/>
      <c r="D125" s="436">
        <v>198</v>
      </c>
      <c r="E125" s="435"/>
      <c r="F125" s="435">
        <f>D125</f>
        <v>198</v>
      </c>
      <c r="G125" s="430"/>
      <c r="H125" s="431"/>
      <c r="I125" s="432"/>
      <c r="J125" s="433"/>
      <c r="K125" s="401"/>
    </row>
    <row r="126" spans="1:11" s="429" customFormat="1" ht="21" customHeight="1" hidden="1">
      <c r="A126" s="405"/>
      <c r="B126" s="437" t="s">
        <v>58</v>
      </c>
      <c r="C126" s="435"/>
      <c r="D126" s="436">
        <v>10</v>
      </c>
      <c r="E126" s="435"/>
      <c r="F126" s="435">
        <f aca="true" t="shared" si="11" ref="F126:F131">D126</f>
        <v>10</v>
      </c>
      <c r="G126" s="430"/>
      <c r="H126" s="431"/>
      <c r="I126" s="432"/>
      <c r="J126" s="433"/>
      <c r="K126" s="401"/>
    </row>
    <row r="127" spans="1:11" s="429" customFormat="1" ht="21" customHeight="1" hidden="1">
      <c r="A127" s="405"/>
      <c r="B127" s="438" t="s">
        <v>57</v>
      </c>
      <c r="C127" s="435"/>
      <c r="D127" s="436">
        <v>300</v>
      </c>
      <c r="E127" s="435"/>
      <c r="F127" s="435">
        <f t="shared" si="11"/>
        <v>300</v>
      </c>
      <c r="G127" s="430"/>
      <c r="H127" s="431"/>
      <c r="I127" s="432"/>
      <c r="J127" s="433"/>
      <c r="K127" s="401"/>
    </row>
    <row r="128" spans="1:11" s="429" customFormat="1" ht="21" customHeight="1" hidden="1">
      <c r="A128" s="405"/>
      <c r="B128" s="438" t="s">
        <v>60</v>
      </c>
      <c r="C128" s="435"/>
      <c r="D128" s="436">
        <v>20</v>
      </c>
      <c r="E128" s="435"/>
      <c r="F128" s="435">
        <f t="shared" si="11"/>
        <v>20</v>
      </c>
      <c r="G128" s="430"/>
      <c r="H128" s="431"/>
      <c r="I128" s="432"/>
      <c r="J128" s="433"/>
      <c r="K128" s="401"/>
    </row>
    <row r="129" spans="1:11" s="429" customFormat="1" ht="21" customHeight="1" hidden="1">
      <c r="A129" s="405"/>
      <c r="B129" s="438" t="s">
        <v>612</v>
      </c>
      <c r="C129" s="435"/>
      <c r="D129" s="436">
        <v>3</v>
      </c>
      <c r="E129" s="435"/>
      <c r="F129" s="435">
        <f t="shared" si="11"/>
        <v>3</v>
      </c>
      <c r="G129" s="430"/>
      <c r="H129" s="431"/>
      <c r="I129" s="432"/>
      <c r="J129" s="433"/>
      <c r="K129" s="401"/>
    </row>
    <row r="130" spans="1:11" s="429" customFormat="1" ht="21" customHeight="1" hidden="1">
      <c r="A130" s="405"/>
      <c r="B130" s="438" t="s">
        <v>61</v>
      </c>
      <c r="C130" s="435"/>
      <c r="D130" s="436">
        <v>150</v>
      </c>
      <c r="E130" s="435"/>
      <c r="F130" s="435">
        <f t="shared" si="11"/>
        <v>150</v>
      </c>
      <c r="G130" s="430"/>
      <c r="H130" s="431"/>
      <c r="I130" s="432"/>
      <c r="J130" s="433"/>
      <c r="K130" s="401"/>
    </row>
    <row r="131" spans="1:11" s="429" customFormat="1" ht="21" customHeight="1" hidden="1">
      <c r="A131" s="405"/>
      <c r="B131" s="438" t="s">
        <v>62</v>
      </c>
      <c r="C131" s="435"/>
      <c r="D131" s="435">
        <v>50</v>
      </c>
      <c r="E131" s="435"/>
      <c r="F131" s="435">
        <f t="shared" si="11"/>
        <v>50</v>
      </c>
      <c r="G131" s="430"/>
      <c r="H131" s="431"/>
      <c r="I131" s="432"/>
      <c r="J131" s="433"/>
      <c r="K131" s="401"/>
    </row>
    <row r="132" spans="1:8" ht="36" customHeight="1">
      <c r="A132" s="405" t="s">
        <v>159</v>
      </c>
      <c r="B132" s="736" t="s">
        <v>698</v>
      </c>
      <c r="C132" s="737"/>
      <c r="D132" s="738">
        <f>D133+D134</f>
        <v>12150</v>
      </c>
      <c r="E132" s="738">
        <f>E133+E134</f>
        <v>0</v>
      </c>
      <c r="F132" s="738">
        <f>F133+F134</f>
        <v>12150</v>
      </c>
      <c r="G132" s="439"/>
      <c r="H132" s="439"/>
    </row>
    <row r="133" spans="1:8" ht="19.5" customHeight="1">
      <c r="A133" s="409">
        <v>1</v>
      </c>
      <c r="B133" s="739" t="s">
        <v>697</v>
      </c>
      <c r="C133" s="737"/>
      <c r="D133" s="740">
        <f>PL02!D54</f>
        <v>7800</v>
      </c>
      <c r="E133" s="740"/>
      <c r="F133" s="740">
        <f>D133</f>
        <v>7800</v>
      </c>
      <c r="G133" s="439"/>
      <c r="H133" s="439"/>
    </row>
    <row r="134" spans="1:8" ht="16.5">
      <c r="A134" s="440">
        <v>2</v>
      </c>
      <c r="B134" s="739" t="s">
        <v>50</v>
      </c>
      <c r="C134" s="737"/>
      <c r="D134" s="740">
        <f>PL02!D55</f>
        <v>4350</v>
      </c>
      <c r="E134" s="740"/>
      <c r="F134" s="740">
        <f>D134</f>
        <v>4350</v>
      </c>
      <c r="G134" s="439"/>
      <c r="H134" s="439"/>
    </row>
    <row r="135" spans="1:8" ht="18.75" hidden="1">
      <c r="A135" s="440"/>
      <c r="B135" s="441" t="s">
        <v>625</v>
      </c>
      <c r="C135" s="741"/>
      <c r="D135" s="442">
        <v>0</v>
      </c>
      <c r="E135" s="442">
        <v>0</v>
      </c>
      <c r="F135" s="442">
        <v>0</v>
      </c>
      <c r="G135" s="439"/>
      <c r="H135" s="439"/>
    </row>
    <row r="136" spans="1:8" ht="18.75" hidden="1">
      <c r="A136" s="440"/>
      <c r="B136" s="441" t="s">
        <v>626</v>
      </c>
      <c r="C136" s="741"/>
      <c r="D136" s="442">
        <f>'[1]PL02'!D56</f>
        <v>5645</v>
      </c>
      <c r="E136" s="442"/>
      <c r="F136" s="442">
        <f>D136</f>
        <v>5645</v>
      </c>
      <c r="G136" s="439"/>
      <c r="H136" s="439"/>
    </row>
    <row r="142" ht="16.5"/>
    <row r="143" ht="16.5"/>
  </sheetData>
  <sheetProtection/>
  <mergeCells count="4">
    <mergeCell ref="A4:F4"/>
    <mergeCell ref="A5:F5"/>
    <mergeCell ref="A6:F6"/>
    <mergeCell ref="E7:F7"/>
  </mergeCells>
  <printOptions/>
  <pageMargins left="0.3" right="0.27" top="0.58" bottom="0.64" header="0.5" footer="0.38"/>
  <pageSetup horizontalDpi="600" verticalDpi="600" orientation="portrait" paperSize="9" scale="95" r:id="rId4"/>
  <headerFooter alignWithMargins="0">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5"/>
  </sheetPr>
  <dimension ref="A1:T70"/>
  <sheetViews>
    <sheetView zoomScale="120" zoomScaleNormal="120" zoomScalePageLayoutView="0" workbookViewId="0" topLeftCell="A1">
      <selection activeCell="A7" sqref="A7:T7"/>
    </sheetView>
  </sheetViews>
  <sheetFormatPr defaultColWidth="8.8515625" defaultRowHeight="12.75"/>
  <cols>
    <col min="1" max="1" width="5.140625" style="39" customWidth="1"/>
    <col min="2" max="2" width="28.28125" style="35" customWidth="1"/>
    <col min="3" max="3" width="7.00390625" style="43" customWidth="1"/>
    <col min="4" max="4" width="6.8515625" style="43" customWidth="1"/>
    <col min="5" max="5" width="9.00390625" style="44" customWidth="1"/>
    <col min="6" max="6" width="10.7109375" style="35" customWidth="1"/>
    <col min="7" max="7" width="9.421875" style="35" customWidth="1"/>
    <col min="8" max="8" width="7.8515625" style="35" customWidth="1"/>
    <col min="9" max="9" width="9.421875" style="35" customWidth="1"/>
    <col min="10" max="10" width="6.421875" style="449" customWidth="1"/>
    <col min="11" max="11" width="7.421875" style="35" customWidth="1"/>
    <col min="12" max="12" width="6.421875" style="35" customWidth="1"/>
    <col min="13" max="13" width="6.8515625" style="17" customWidth="1"/>
    <col min="14" max="14" width="9.140625" style="17" customWidth="1"/>
    <col min="15" max="15" width="8.421875" style="17" customWidth="1"/>
    <col min="16" max="16" width="6.7109375" style="93" customWidth="1"/>
    <col min="17" max="17" width="7.28125" style="93" customWidth="1"/>
    <col min="18" max="18" width="7.8515625" style="93" customWidth="1"/>
    <col min="19" max="19" width="8.8515625" style="93" customWidth="1"/>
    <col min="20" max="20" width="9.28125" style="17" customWidth="1"/>
    <col min="21" max="16384" width="8.8515625" style="17" customWidth="1"/>
  </cols>
  <sheetData>
    <row r="1" spans="1:20" ht="18" customHeight="1">
      <c r="A1" s="25" t="s">
        <v>65</v>
      </c>
      <c r="B1" s="26"/>
      <c r="C1" s="920"/>
      <c r="D1" s="920"/>
      <c r="E1" s="920"/>
      <c r="F1" s="920"/>
      <c r="G1" s="920"/>
      <c r="H1" s="920"/>
      <c r="I1" s="920"/>
      <c r="J1" s="920"/>
      <c r="K1" s="920"/>
      <c r="L1" s="920"/>
      <c r="M1" s="920"/>
      <c r="N1" s="920"/>
      <c r="O1" s="27"/>
      <c r="T1" s="27"/>
    </row>
    <row r="2" spans="1:20" ht="16.5">
      <c r="A2" s="25" t="s">
        <v>64</v>
      </c>
      <c r="B2" s="26"/>
      <c r="C2" s="920"/>
      <c r="D2" s="920"/>
      <c r="E2" s="920"/>
      <c r="F2" s="920"/>
      <c r="G2" s="920"/>
      <c r="H2" s="920"/>
      <c r="I2" s="920"/>
      <c r="J2" s="920"/>
      <c r="K2" s="920"/>
      <c r="L2" s="920"/>
      <c r="M2" s="920"/>
      <c r="N2" s="920"/>
      <c r="O2" s="27"/>
      <c r="T2" s="27"/>
    </row>
    <row r="3" spans="1:20" ht="9.75" customHeight="1">
      <c r="A3" s="29"/>
      <c r="B3" s="30" t="s">
        <v>410</v>
      </c>
      <c r="C3" s="921"/>
      <c r="D3" s="921"/>
      <c r="E3" s="921"/>
      <c r="F3" s="921"/>
      <c r="G3" s="30"/>
      <c r="H3" s="30"/>
      <c r="I3" s="30"/>
      <c r="J3" s="651"/>
      <c r="K3" s="30"/>
      <c r="L3" s="30"/>
      <c r="M3" s="28"/>
      <c r="N3" s="28"/>
      <c r="O3" s="28"/>
      <c r="P3" s="17"/>
      <c r="Q3" s="17"/>
      <c r="R3" s="17"/>
      <c r="S3" s="17"/>
      <c r="T3" s="28"/>
    </row>
    <row r="4" spans="1:20" s="31" customFormat="1" ht="18.75">
      <c r="A4" s="922" t="s">
        <v>507</v>
      </c>
      <c r="B4" s="922"/>
      <c r="C4" s="922"/>
      <c r="D4" s="922"/>
      <c r="E4" s="922"/>
      <c r="F4" s="922"/>
      <c r="G4" s="922"/>
      <c r="H4" s="922"/>
      <c r="I4" s="922"/>
      <c r="J4" s="922"/>
      <c r="K4" s="922"/>
      <c r="L4" s="922"/>
      <c r="M4" s="922"/>
      <c r="N4" s="922"/>
      <c r="O4" s="922"/>
      <c r="P4" s="922"/>
      <c r="Q4" s="922"/>
      <c r="R4" s="922"/>
      <c r="S4" s="922"/>
      <c r="T4" s="922"/>
    </row>
    <row r="5" spans="1:20" s="31" customFormat="1" ht="19.5" customHeight="1">
      <c r="A5" s="906" t="s">
        <v>885</v>
      </c>
      <c r="B5" s="906"/>
      <c r="C5" s="906"/>
      <c r="D5" s="906"/>
      <c r="E5" s="906"/>
      <c r="F5" s="906"/>
      <c r="G5" s="906"/>
      <c r="H5" s="906"/>
      <c r="I5" s="906"/>
      <c r="J5" s="906"/>
      <c r="K5" s="906"/>
      <c r="L5" s="906"/>
      <c r="M5" s="906"/>
      <c r="N5" s="906"/>
      <c r="O5" s="906"/>
      <c r="P5" s="906"/>
      <c r="Q5" s="906"/>
      <c r="R5" s="906"/>
      <c r="S5" s="906"/>
      <c r="T5" s="906"/>
    </row>
    <row r="6" spans="1:20" s="31" customFormat="1" ht="19.5" customHeight="1">
      <c r="A6" s="906" t="s">
        <v>769</v>
      </c>
      <c r="B6" s="906"/>
      <c r="C6" s="906"/>
      <c r="D6" s="906"/>
      <c r="E6" s="906"/>
      <c r="F6" s="906"/>
      <c r="G6" s="906"/>
      <c r="H6" s="906"/>
      <c r="I6" s="906"/>
      <c r="J6" s="906"/>
      <c r="K6" s="906"/>
      <c r="L6" s="906"/>
      <c r="M6" s="906"/>
      <c r="N6" s="906"/>
      <c r="O6" s="906"/>
      <c r="P6" s="906"/>
      <c r="Q6" s="906"/>
      <c r="R6" s="906"/>
      <c r="S6" s="906"/>
      <c r="T6" s="906"/>
    </row>
    <row r="7" spans="1:20" s="31" customFormat="1" ht="17.25" customHeight="1">
      <c r="A7" s="923" t="s">
        <v>888</v>
      </c>
      <c r="B7" s="923"/>
      <c r="C7" s="923"/>
      <c r="D7" s="923"/>
      <c r="E7" s="923"/>
      <c r="F7" s="923"/>
      <c r="G7" s="923"/>
      <c r="H7" s="923"/>
      <c r="I7" s="923"/>
      <c r="J7" s="923"/>
      <c r="K7" s="923"/>
      <c r="L7" s="923"/>
      <c r="M7" s="923"/>
      <c r="N7" s="923"/>
      <c r="O7" s="923"/>
      <c r="P7" s="923"/>
      <c r="Q7" s="923"/>
      <c r="R7" s="923"/>
      <c r="S7" s="923"/>
      <c r="T7" s="923"/>
    </row>
    <row r="8" spans="1:20" s="31" customFormat="1" ht="17.25" customHeight="1">
      <c r="A8" s="32"/>
      <c r="B8" s="32"/>
      <c r="C8" s="32"/>
      <c r="D8" s="32"/>
      <c r="E8" s="33"/>
      <c r="F8" s="32"/>
      <c r="G8" s="32"/>
      <c r="H8" s="32"/>
      <c r="I8" s="32"/>
      <c r="J8" s="652"/>
      <c r="K8" s="32"/>
      <c r="L8" s="32"/>
      <c r="M8" s="32"/>
      <c r="N8" s="32"/>
      <c r="Q8" s="913"/>
      <c r="R8" s="913"/>
      <c r="S8" s="34" t="s">
        <v>411</v>
      </c>
      <c r="T8" s="32"/>
    </row>
    <row r="9" spans="1:20" ht="35.25" customHeight="1">
      <c r="A9" s="916" t="s">
        <v>293</v>
      </c>
      <c r="B9" s="916" t="s">
        <v>412</v>
      </c>
      <c r="C9" s="916" t="s">
        <v>413</v>
      </c>
      <c r="D9" s="916" t="s">
        <v>762</v>
      </c>
      <c r="E9" s="917" t="s">
        <v>477</v>
      </c>
      <c r="F9" s="918"/>
      <c r="G9" s="918"/>
      <c r="H9" s="918"/>
      <c r="I9" s="919"/>
      <c r="J9" s="917" t="s">
        <v>590</v>
      </c>
      <c r="K9" s="918"/>
      <c r="L9" s="918"/>
      <c r="M9" s="918"/>
      <c r="N9" s="919"/>
      <c r="O9" s="916" t="s">
        <v>478</v>
      </c>
      <c r="P9" s="911" t="s">
        <v>37</v>
      </c>
      <c r="Q9" s="911"/>
      <c r="R9" s="911"/>
      <c r="S9" s="912" t="s">
        <v>865</v>
      </c>
      <c r="T9" s="910" t="s">
        <v>416</v>
      </c>
    </row>
    <row r="10" spans="1:20" s="35" customFormat="1" ht="39.75" customHeight="1">
      <c r="A10" s="916"/>
      <c r="B10" s="916"/>
      <c r="C10" s="916"/>
      <c r="D10" s="916"/>
      <c r="E10" s="910" t="s">
        <v>414</v>
      </c>
      <c r="F10" s="910" t="s">
        <v>766</v>
      </c>
      <c r="G10" s="910" t="s">
        <v>767</v>
      </c>
      <c r="H10" s="910" t="s">
        <v>415</v>
      </c>
      <c r="I10" s="910" t="s">
        <v>768</v>
      </c>
      <c r="J10" s="924" t="s">
        <v>594</v>
      </c>
      <c r="K10" s="910" t="s">
        <v>497</v>
      </c>
      <c r="L10" s="910" t="s">
        <v>479</v>
      </c>
      <c r="M10" s="910" t="s">
        <v>591</v>
      </c>
      <c r="N10" s="910" t="s">
        <v>592</v>
      </c>
      <c r="O10" s="916"/>
      <c r="P10" s="911" t="s">
        <v>647</v>
      </c>
      <c r="Q10" s="911" t="s">
        <v>860</v>
      </c>
      <c r="R10" s="911" t="s">
        <v>867</v>
      </c>
      <c r="S10" s="912"/>
      <c r="T10" s="910"/>
    </row>
    <row r="11" spans="1:20" s="35" customFormat="1" ht="16.5" customHeight="1">
      <c r="A11" s="916"/>
      <c r="B11" s="916"/>
      <c r="C11" s="916"/>
      <c r="D11" s="916"/>
      <c r="E11" s="910"/>
      <c r="F11" s="910"/>
      <c r="G11" s="910"/>
      <c r="H11" s="910"/>
      <c r="I11" s="910"/>
      <c r="J11" s="924"/>
      <c r="K11" s="910"/>
      <c r="L11" s="910"/>
      <c r="M11" s="910"/>
      <c r="N11" s="910"/>
      <c r="O11" s="916"/>
      <c r="P11" s="911"/>
      <c r="Q11" s="911"/>
      <c r="R11" s="911"/>
      <c r="S11" s="912"/>
      <c r="T11" s="910"/>
    </row>
    <row r="12" spans="1:20" s="35" customFormat="1" ht="104.25" customHeight="1">
      <c r="A12" s="916"/>
      <c r="B12" s="916"/>
      <c r="C12" s="916"/>
      <c r="D12" s="916"/>
      <c r="E12" s="910"/>
      <c r="F12" s="910"/>
      <c r="G12" s="910"/>
      <c r="H12" s="910"/>
      <c r="I12" s="910"/>
      <c r="J12" s="924"/>
      <c r="K12" s="910"/>
      <c r="L12" s="910"/>
      <c r="M12" s="910"/>
      <c r="N12" s="910"/>
      <c r="O12" s="916"/>
      <c r="P12" s="911"/>
      <c r="Q12" s="911"/>
      <c r="R12" s="911"/>
      <c r="S12" s="912"/>
      <c r="T12" s="910"/>
    </row>
    <row r="13" spans="1:20" s="37" customFormat="1" ht="42" customHeight="1">
      <c r="A13" s="14" t="s">
        <v>294</v>
      </c>
      <c r="B13" s="14" t="s">
        <v>299</v>
      </c>
      <c r="C13" s="14">
        <v>1</v>
      </c>
      <c r="D13" s="14">
        <v>2</v>
      </c>
      <c r="E13" s="36" t="s">
        <v>764</v>
      </c>
      <c r="F13" s="36" t="s">
        <v>66</v>
      </c>
      <c r="G13" s="36" t="s">
        <v>67</v>
      </c>
      <c r="H13" s="36" t="s">
        <v>480</v>
      </c>
      <c r="I13" s="36" t="s">
        <v>326</v>
      </c>
      <c r="J13" s="653">
        <v>8</v>
      </c>
      <c r="K13" s="36">
        <v>9</v>
      </c>
      <c r="L13" s="36">
        <v>10</v>
      </c>
      <c r="M13" s="36">
        <v>11</v>
      </c>
      <c r="N13" s="36" t="s">
        <v>596</v>
      </c>
      <c r="O13" s="36" t="s">
        <v>595</v>
      </c>
      <c r="P13" s="875" t="s">
        <v>872</v>
      </c>
      <c r="Q13" s="875">
        <v>14</v>
      </c>
      <c r="R13" s="875">
        <v>15</v>
      </c>
      <c r="S13" s="875" t="s">
        <v>873</v>
      </c>
      <c r="T13" s="36">
        <v>17</v>
      </c>
    </row>
    <row r="14" spans="1:20" s="21" customFormat="1" ht="24" customHeight="1">
      <c r="A14" s="15"/>
      <c r="B14" s="15" t="s">
        <v>291</v>
      </c>
      <c r="C14" s="22">
        <f aca="true" t="shared" si="0" ref="C14:S14">C15+C20+C28+C36+C70</f>
        <v>225</v>
      </c>
      <c r="D14" s="22">
        <f t="shared" si="0"/>
        <v>204</v>
      </c>
      <c r="E14" s="22">
        <f t="shared" si="0"/>
        <v>13325</v>
      </c>
      <c r="F14" s="22">
        <f t="shared" si="0"/>
        <v>20117</v>
      </c>
      <c r="G14" s="22">
        <f t="shared" si="0"/>
        <v>37621</v>
      </c>
      <c r="H14" s="22">
        <f t="shared" si="0"/>
        <v>1753.9</v>
      </c>
      <c r="I14" s="22">
        <f t="shared" si="0"/>
        <v>35867.1</v>
      </c>
      <c r="J14" s="654">
        <f t="shared" si="0"/>
        <v>0</v>
      </c>
      <c r="K14" s="22">
        <f t="shared" si="0"/>
        <v>9582</v>
      </c>
      <c r="L14" s="22">
        <f t="shared" si="0"/>
        <v>362</v>
      </c>
      <c r="M14" s="22">
        <f t="shared" si="0"/>
        <v>36</v>
      </c>
      <c r="N14" s="22">
        <f t="shared" si="0"/>
        <v>9908</v>
      </c>
      <c r="O14" s="22">
        <f t="shared" si="0"/>
        <v>45775.1</v>
      </c>
      <c r="P14" s="22">
        <f t="shared" si="0"/>
        <v>432</v>
      </c>
      <c r="Q14" s="22">
        <f t="shared" si="0"/>
        <v>259</v>
      </c>
      <c r="R14" s="22">
        <f t="shared" si="0"/>
        <v>173</v>
      </c>
      <c r="S14" s="22">
        <f t="shared" si="0"/>
        <v>45516.1</v>
      </c>
      <c r="T14" s="22"/>
    </row>
    <row r="15" spans="1:20" s="23" customFormat="1" ht="18" customHeight="1">
      <c r="A15" s="15" t="s">
        <v>295</v>
      </c>
      <c r="B15" s="136" t="s">
        <v>427</v>
      </c>
      <c r="C15" s="22">
        <f>C16+C19</f>
        <v>36</v>
      </c>
      <c r="D15" s="22">
        <f aca="true" t="shared" si="1" ref="D15:S15">D16+D19</f>
        <v>36</v>
      </c>
      <c r="E15" s="22">
        <f>E16+E19</f>
        <v>2370</v>
      </c>
      <c r="F15" s="22">
        <f t="shared" si="1"/>
        <v>4373</v>
      </c>
      <c r="G15" s="22">
        <f t="shared" si="1"/>
        <v>6743</v>
      </c>
      <c r="H15" s="22">
        <f t="shared" si="1"/>
        <v>237</v>
      </c>
      <c r="I15" s="22">
        <f t="shared" si="1"/>
        <v>6506</v>
      </c>
      <c r="J15" s="654">
        <f t="shared" si="1"/>
        <v>0</v>
      </c>
      <c r="K15" s="22">
        <f t="shared" si="1"/>
        <v>1638</v>
      </c>
      <c r="L15" s="22">
        <f t="shared" si="1"/>
        <v>38</v>
      </c>
      <c r="M15" s="22">
        <f t="shared" si="1"/>
        <v>4</v>
      </c>
      <c r="N15" s="22">
        <f t="shared" si="1"/>
        <v>1672</v>
      </c>
      <c r="O15" s="22">
        <f t="shared" si="1"/>
        <v>8178</v>
      </c>
      <c r="P15" s="22">
        <f t="shared" si="1"/>
        <v>0</v>
      </c>
      <c r="Q15" s="22">
        <f t="shared" si="1"/>
        <v>0</v>
      </c>
      <c r="R15" s="22">
        <f t="shared" si="1"/>
        <v>0</v>
      </c>
      <c r="S15" s="22">
        <f t="shared" si="1"/>
        <v>8178</v>
      </c>
      <c r="T15" s="22"/>
    </row>
    <row r="16" spans="1:20" s="21" customFormat="1" ht="20.25" customHeight="1">
      <c r="A16" s="274">
        <v>1</v>
      </c>
      <c r="B16" s="656" t="s">
        <v>1</v>
      </c>
      <c r="C16" s="19">
        <f>C17+C18</f>
        <v>34</v>
      </c>
      <c r="D16" s="19">
        <f aca="true" t="shared" si="2" ref="D16:S16">D17+D18</f>
        <v>34</v>
      </c>
      <c r="E16" s="285">
        <f t="shared" si="2"/>
        <v>2240</v>
      </c>
      <c r="F16" s="285">
        <f t="shared" si="2"/>
        <v>4217</v>
      </c>
      <c r="G16" s="285">
        <f t="shared" si="2"/>
        <v>6457</v>
      </c>
      <c r="H16" s="285">
        <f t="shared" si="2"/>
        <v>224</v>
      </c>
      <c r="I16" s="285">
        <f t="shared" si="2"/>
        <v>6233</v>
      </c>
      <c r="J16" s="360">
        <f t="shared" si="2"/>
        <v>0</v>
      </c>
      <c r="K16" s="285">
        <f t="shared" si="2"/>
        <v>1638</v>
      </c>
      <c r="L16" s="285">
        <f t="shared" si="2"/>
        <v>38</v>
      </c>
      <c r="M16" s="285">
        <f t="shared" si="2"/>
        <v>4</v>
      </c>
      <c r="N16" s="285">
        <f t="shared" si="2"/>
        <v>1672</v>
      </c>
      <c r="O16" s="285">
        <f t="shared" si="2"/>
        <v>7905</v>
      </c>
      <c r="P16" s="285">
        <f t="shared" si="2"/>
        <v>0</v>
      </c>
      <c r="Q16" s="285">
        <f t="shared" si="2"/>
        <v>0</v>
      </c>
      <c r="R16" s="285">
        <f t="shared" si="2"/>
        <v>0</v>
      </c>
      <c r="S16" s="285">
        <f t="shared" si="2"/>
        <v>7905</v>
      </c>
      <c r="T16" s="20"/>
    </row>
    <row r="17" spans="1:20" s="21" customFormat="1" ht="20.25" customHeight="1">
      <c r="A17" s="274"/>
      <c r="B17" s="881" t="s">
        <v>3</v>
      </c>
      <c r="C17" s="884">
        <v>32</v>
      </c>
      <c r="D17" s="884">
        <v>32</v>
      </c>
      <c r="E17" s="885">
        <f>C17*70</f>
        <v>2240</v>
      </c>
      <c r="F17" s="886">
        <v>4217</v>
      </c>
      <c r="G17" s="886">
        <f>E17+F17</f>
        <v>6457</v>
      </c>
      <c r="H17" s="887">
        <f>E17*10%</f>
        <v>224</v>
      </c>
      <c r="I17" s="887">
        <f>G17-H17</f>
        <v>6233</v>
      </c>
      <c r="J17" s="888">
        <f>'PL 05'!V20+'PL 05'!V21</f>
        <v>0</v>
      </c>
      <c r="K17" s="886">
        <f>'DAC THU'!D11</f>
        <v>1638</v>
      </c>
      <c r="L17" s="886">
        <f>'PL 05'!T12</f>
        <v>38</v>
      </c>
      <c r="M17" s="886">
        <f>'PL 05'!U12</f>
        <v>4</v>
      </c>
      <c r="N17" s="887">
        <f>(J17+K17+L17)-M17</f>
        <v>1672</v>
      </c>
      <c r="O17" s="887">
        <f aca="true" t="shared" si="3" ref="O17:O27">I17+N17</f>
        <v>7905</v>
      </c>
      <c r="P17" s="335"/>
      <c r="Q17" s="335"/>
      <c r="R17" s="335"/>
      <c r="S17" s="876">
        <f>O17-Q17</f>
        <v>7905</v>
      </c>
      <c r="T17" s="20" t="s">
        <v>765</v>
      </c>
    </row>
    <row r="18" spans="1:20" s="21" customFormat="1" ht="20.25" customHeight="1">
      <c r="A18" s="274"/>
      <c r="B18" s="881" t="s">
        <v>2</v>
      </c>
      <c r="C18" s="884">
        <v>2</v>
      </c>
      <c r="D18" s="884">
        <v>2</v>
      </c>
      <c r="E18" s="885"/>
      <c r="F18" s="886"/>
      <c r="G18" s="886">
        <f>E18+F18</f>
        <v>0</v>
      </c>
      <c r="H18" s="887">
        <f>E18*10%</f>
        <v>0</v>
      </c>
      <c r="I18" s="887">
        <f>G18-H18</f>
        <v>0</v>
      </c>
      <c r="J18" s="888">
        <f>'PL 05'!V21+'PL 05'!V22</f>
        <v>0</v>
      </c>
      <c r="K18" s="886"/>
      <c r="L18" s="886"/>
      <c r="M18" s="886"/>
      <c r="N18" s="887">
        <f>(J18+K18+L18)-M18</f>
        <v>0</v>
      </c>
      <c r="O18" s="887">
        <f t="shared" si="3"/>
        <v>0</v>
      </c>
      <c r="P18" s="339"/>
      <c r="Q18" s="339"/>
      <c r="R18" s="339"/>
      <c r="S18" s="876">
        <f>O18-Q18</f>
        <v>0</v>
      </c>
      <c r="T18" s="20"/>
    </row>
    <row r="19" spans="1:20" s="21" customFormat="1" ht="20.25" customHeight="1">
      <c r="A19" s="274">
        <v>2</v>
      </c>
      <c r="B19" s="315" t="s">
        <v>428</v>
      </c>
      <c r="C19" s="19">
        <v>2</v>
      </c>
      <c r="D19" s="19">
        <v>2</v>
      </c>
      <c r="E19" s="300">
        <f>C19*65</f>
        <v>130</v>
      </c>
      <c r="F19" s="285">
        <v>156</v>
      </c>
      <c r="G19" s="285">
        <f>E19+F19</f>
        <v>286</v>
      </c>
      <c r="H19" s="657">
        <f>E19*10%</f>
        <v>13</v>
      </c>
      <c r="I19" s="657">
        <f>G19-H19</f>
        <v>273</v>
      </c>
      <c r="J19" s="368"/>
      <c r="K19" s="285"/>
      <c r="L19" s="285"/>
      <c r="M19" s="285"/>
      <c r="N19" s="657">
        <f>(J19+K19+L19)-M19</f>
        <v>0</v>
      </c>
      <c r="O19" s="657">
        <f t="shared" si="3"/>
        <v>273</v>
      </c>
      <c r="P19" s="347"/>
      <c r="Q19" s="347"/>
      <c r="R19" s="347"/>
      <c r="S19" s="346">
        <f>O19-Q19</f>
        <v>273</v>
      </c>
      <c r="T19" s="20" t="s">
        <v>763</v>
      </c>
    </row>
    <row r="20" spans="1:20" s="23" customFormat="1" ht="21.75" customHeight="1">
      <c r="A20" s="15" t="s">
        <v>296</v>
      </c>
      <c r="B20" s="136" t="s">
        <v>429</v>
      </c>
      <c r="C20" s="22">
        <f>SUM(C21:C27)</f>
        <v>19</v>
      </c>
      <c r="D20" s="22">
        <f aca="true" t="shared" si="4" ref="D20:S20">SUM(D21:D27)</f>
        <v>19</v>
      </c>
      <c r="E20" s="22">
        <f t="shared" si="4"/>
        <v>1235</v>
      </c>
      <c r="F20" s="22">
        <f t="shared" si="4"/>
        <v>2194</v>
      </c>
      <c r="G20" s="22">
        <f t="shared" si="4"/>
        <v>3429</v>
      </c>
      <c r="H20" s="22">
        <f t="shared" si="4"/>
        <v>125</v>
      </c>
      <c r="I20" s="22">
        <f t="shared" si="4"/>
        <v>3304</v>
      </c>
      <c r="J20" s="654">
        <f t="shared" si="4"/>
        <v>0</v>
      </c>
      <c r="K20" s="22">
        <f t="shared" si="4"/>
        <v>1300</v>
      </c>
      <c r="L20" s="22">
        <f t="shared" si="4"/>
        <v>83</v>
      </c>
      <c r="M20" s="22">
        <f t="shared" si="4"/>
        <v>8</v>
      </c>
      <c r="N20" s="22">
        <f t="shared" si="4"/>
        <v>1375</v>
      </c>
      <c r="O20" s="22">
        <f t="shared" si="4"/>
        <v>4679</v>
      </c>
      <c r="P20" s="22">
        <f t="shared" si="4"/>
        <v>0</v>
      </c>
      <c r="Q20" s="22">
        <f t="shared" si="4"/>
        <v>0</v>
      </c>
      <c r="R20" s="22">
        <f t="shared" si="4"/>
        <v>0</v>
      </c>
      <c r="S20" s="22">
        <f t="shared" si="4"/>
        <v>4679</v>
      </c>
      <c r="T20" s="22"/>
    </row>
    <row r="21" spans="1:20" s="21" customFormat="1" ht="18" customHeight="1">
      <c r="A21" s="138">
        <v>1</v>
      </c>
      <c r="B21" s="656" t="s">
        <v>430</v>
      </c>
      <c r="C21" s="19">
        <v>5</v>
      </c>
      <c r="D21" s="19">
        <v>5</v>
      </c>
      <c r="E21" s="24">
        <f aca="true" t="shared" si="5" ref="E21:E26">C21*65</f>
        <v>325</v>
      </c>
      <c r="F21" s="24">
        <v>611</v>
      </c>
      <c r="G21" s="24">
        <f>E21+F21</f>
        <v>936</v>
      </c>
      <c r="H21" s="24">
        <v>33</v>
      </c>
      <c r="I21" s="24">
        <f>G21-H21</f>
        <v>903</v>
      </c>
      <c r="J21" s="658">
        <f>SUM(J22:J22)</f>
        <v>0</v>
      </c>
      <c r="K21" s="24">
        <f>'DAC THU'!D14</f>
        <v>400</v>
      </c>
      <c r="L21" s="24">
        <f>'PL 05'!T13</f>
        <v>83</v>
      </c>
      <c r="M21" s="24">
        <v>8</v>
      </c>
      <c r="N21" s="24">
        <f>(J21+K21+L21-M21)</f>
        <v>475</v>
      </c>
      <c r="O21" s="285">
        <f>I21+N21</f>
        <v>1378</v>
      </c>
      <c r="P21" s="347"/>
      <c r="Q21" s="347"/>
      <c r="R21" s="347"/>
      <c r="S21" s="346">
        <f>O21-Q21</f>
        <v>1378</v>
      </c>
      <c r="T21" s="20"/>
    </row>
    <row r="22" spans="1:20" s="21" customFormat="1" ht="18" customHeight="1" hidden="1">
      <c r="A22" s="138"/>
      <c r="B22" s="137" t="s">
        <v>2</v>
      </c>
      <c r="C22" s="19"/>
      <c r="D22" s="19"/>
      <c r="E22" s="24">
        <f t="shared" si="5"/>
        <v>0</v>
      </c>
      <c r="F22" s="24"/>
      <c r="G22" s="24">
        <f aca="true" t="shared" si="6" ref="G22:G27">E22+F22</f>
        <v>0</v>
      </c>
      <c r="H22" s="24">
        <f>E22*10%</f>
        <v>0</v>
      </c>
      <c r="I22" s="90">
        <f aca="true" t="shared" si="7" ref="I22:I27">G22-H22</f>
        <v>0</v>
      </c>
      <c r="J22" s="655"/>
      <c r="K22" s="91"/>
      <c r="L22" s="24"/>
      <c r="M22" s="24"/>
      <c r="N22" s="90">
        <f>(J22+K22+L22)-M22</f>
        <v>0</v>
      </c>
      <c r="O22" s="90">
        <f t="shared" si="3"/>
        <v>0</v>
      </c>
      <c r="P22" s="339"/>
      <c r="Q22" s="339"/>
      <c r="R22" s="339"/>
      <c r="S22" s="346">
        <f aca="true" t="shared" si="8" ref="S22:S27">O22-Q22</f>
        <v>0</v>
      </c>
      <c r="T22" s="20"/>
    </row>
    <row r="23" spans="1:20" s="21" customFormat="1" ht="18" customHeight="1">
      <c r="A23" s="138">
        <v>2</v>
      </c>
      <c r="B23" s="656" t="s">
        <v>618</v>
      </c>
      <c r="C23" s="19">
        <v>3</v>
      </c>
      <c r="D23" s="19">
        <v>3</v>
      </c>
      <c r="E23" s="24">
        <f t="shared" si="5"/>
        <v>195</v>
      </c>
      <c r="F23" s="24">
        <v>260</v>
      </c>
      <c r="G23" s="24">
        <f t="shared" si="6"/>
        <v>455</v>
      </c>
      <c r="H23" s="24">
        <v>20</v>
      </c>
      <c r="I23" s="90">
        <f t="shared" si="7"/>
        <v>435</v>
      </c>
      <c r="J23" s="655"/>
      <c r="K23" s="91">
        <f>'DAC THU'!D17</f>
        <v>400</v>
      </c>
      <c r="L23" s="24"/>
      <c r="M23" s="24"/>
      <c r="N23" s="90">
        <f>(J23+K23+L23)-M23</f>
        <v>400</v>
      </c>
      <c r="O23" s="90">
        <f t="shared" si="3"/>
        <v>835</v>
      </c>
      <c r="P23" s="347"/>
      <c r="Q23" s="347"/>
      <c r="R23" s="347"/>
      <c r="S23" s="346">
        <f t="shared" si="8"/>
        <v>835</v>
      </c>
      <c r="T23" s="20" t="s">
        <v>763</v>
      </c>
    </row>
    <row r="24" spans="1:20" s="21" customFormat="1" ht="18" customHeight="1">
      <c r="A24" s="138">
        <v>3</v>
      </c>
      <c r="B24" s="315" t="s">
        <v>431</v>
      </c>
      <c r="C24" s="19">
        <v>3</v>
      </c>
      <c r="D24" s="19">
        <v>3</v>
      </c>
      <c r="E24" s="24">
        <f t="shared" si="5"/>
        <v>195</v>
      </c>
      <c r="F24" s="24">
        <v>359</v>
      </c>
      <c r="G24" s="24">
        <f t="shared" si="6"/>
        <v>554</v>
      </c>
      <c r="H24" s="24">
        <v>20</v>
      </c>
      <c r="I24" s="90">
        <f t="shared" si="7"/>
        <v>534</v>
      </c>
      <c r="J24" s="655"/>
      <c r="K24" s="91">
        <f>'DAC THU'!D19</f>
        <v>339</v>
      </c>
      <c r="L24" s="24"/>
      <c r="M24" s="24"/>
      <c r="N24" s="90">
        <f>(J24+K24+L24)-M24</f>
        <v>339</v>
      </c>
      <c r="O24" s="90">
        <f t="shared" si="3"/>
        <v>873</v>
      </c>
      <c r="P24" s="347"/>
      <c r="Q24" s="347"/>
      <c r="R24" s="347"/>
      <c r="S24" s="346">
        <f t="shared" si="8"/>
        <v>873</v>
      </c>
      <c r="T24" s="20" t="s">
        <v>763</v>
      </c>
    </row>
    <row r="25" spans="1:20" s="21" customFormat="1" ht="18" customHeight="1">
      <c r="A25" s="138">
        <v>4</v>
      </c>
      <c r="B25" s="656" t="s">
        <v>432</v>
      </c>
      <c r="C25" s="19">
        <v>4</v>
      </c>
      <c r="D25" s="19">
        <v>4</v>
      </c>
      <c r="E25" s="24">
        <f t="shared" si="5"/>
        <v>260</v>
      </c>
      <c r="F25" s="24">
        <v>539</v>
      </c>
      <c r="G25" s="24">
        <f t="shared" si="6"/>
        <v>799</v>
      </c>
      <c r="H25" s="24">
        <v>26</v>
      </c>
      <c r="I25" s="90">
        <f t="shared" si="7"/>
        <v>773</v>
      </c>
      <c r="J25" s="655"/>
      <c r="K25" s="91"/>
      <c r="L25" s="24"/>
      <c r="M25" s="24"/>
      <c r="N25" s="90">
        <f>(J25+K25+L25)-M25</f>
        <v>0</v>
      </c>
      <c r="O25" s="90">
        <f t="shared" si="3"/>
        <v>773</v>
      </c>
      <c r="P25" s="347"/>
      <c r="Q25" s="347"/>
      <c r="R25" s="347"/>
      <c r="S25" s="346">
        <f t="shared" si="8"/>
        <v>773</v>
      </c>
      <c r="T25" s="20" t="s">
        <v>763</v>
      </c>
    </row>
    <row r="26" spans="1:20" s="21" customFormat="1" ht="18" customHeight="1">
      <c r="A26" s="914">
        <v>5</v>
      </c>
      <c r="B26" s="656" t="s">
        <v>433</v>
      </c>
      <c r="C26" s="19">
        <v>4</v>
      </c>
      <c r="D26" s="19">
        <v>4</v>
      </c>
      <c r="E26" s="24">
        <f t="shared" si="5"/>
        <v>260</v>
      </c>
      <c r="F26" s="24">
        <v>420</v>
      </c>
      <c r="G26" s="24">
        <f t="shared" si="6"/>
        <v>680</v>
      </c>
      <c r="H26" s="24">
        <v>26</v>
      </c>
      <c r="I26" s="90">
        <f t="shared" si="7"/>
        <v>654</v>
      </c>
      <c r="J26" s="655"/>
      <c r="K26" s="91">
        <f>'DAC THU'!D20</f>
        <v>151</v>
      </c>
      <c r="L26" s="24"/>
      <c r="M26" s="24"/>
      <c r="N26" s="90">
        <f>(J26+K26+L26)-M26</f>
        <v>151</v>
      </c>
      <c r="O26" s="90">
        <f t="shared" si="3"/>
        <v>805</v>
      </c>
      <c r="P26" s="335"/>
      <c r="Q26" s="335"/>
      <c r="R26" s="335"/>
      <c r="S26" s="346">
        <f t="shared" si="8"/>
        <v>805</v>
      </c>
      <c r="T26" s="20" t="s">
        <v>763</v>
      </c>
    </row>
    <row r="27" spans="1:20" s="21" customFormat="1" ht="18" customHeight="1">
      <c r="A27" s="915"/>
      <c r="B27" s="656" t="s">
        <v>659</v>
      </c>
      <c r="C27" s="19"/>
      <c r="D27" s="19"/>
      <c r="E27" s="659"/>
      <c r="F27" s="24">
        <v>5</v>
      </c>
      <c r="G27" s="24">
        <f t="shared" si="6"/>
        <v>5</v>
      </c>
      <c r="H27" s="24">
        <f>E27*10%</f>
        <v>0</v>
      </c>
      <c r="I27" s="90">
        <f t="shared" si="7"/>
        <v>5</v>
      </c>
      <c r="J27" s="655"/>
      <c r="K27" s="91">
        <v>10</v>
      </c>
      <c r="L27" s="24"/>
      <c r="M27" s="24"/>
      <c r="N27" s="90">
        <f>J27+K27+L27-M27</f>
        <v>10</v>
      </c>
      <c r="O27" s="90">
        <f t="shared" si="3"/>
        <v>15</v>
      </c>
      <c r="P27" s="347"/>
      <c r="Q27" s="347"/>
      <c r="R27" s="347"/>
      <c r="S27" s="346">
        <f t="shared" si="8"/>
        <v>15</v>
      </c>
      <c r="T27" s="20"/>
    </row>
    <row r="28" spans="1:20" s="23" customFormat="1" ht="18" customHeight="1">
      <c r="A28" s="15" t="s">
        <v>297</v>
      </c>
      <c r="B28" s="136" t="s">
        <v>434</v>
      </c>
      <c r="C28" s="22">
        <f>SUM(C29:C35)</f>
        <v>22</v>
      </c>
      <c r="D28" s="22">
        <f>SUM(D29:D35)</f>
        <v>19</v>
      </c>
      <c r="E28" s="660">
        <f>SUM(E29:E35)</f>
        <v>550</v>
      </c>
      <c r="F28" s="660">
        <f>SUM(F29:F35)</f>
        <v>1341</v>
      </c>
      <c r="G28" s="660">
        <f>SUM(G29:G35)</f>
        <v>1891</v>
      </c>
      <c r="H28" s="660">
        <f aca="true" t="shared" si="9" ref="H28:S28">SUM(H29:H35)</f>
        <v>57</v>
      </c>
      <c r="I28" s="660">
        <f t="shared" si="9"/>
        <v>1834</v>
      </c>
      <c r="J28" s="661">
        <f t="shared" si="9"/>
        <v>0</v>
      </c>
      <c r="K28" s="661">
        <f t="shared" si="9"/>
        <v>284</v>
      </c>
      <c r="L28" s="660">
        <f t="shared" si="9"/>
        <v>0</v>
      </c>
      <c r="M28" s="660">
        <f t="shared" si="9"/>
        <v>0</v>
      </c>
      <c r="N28" s="660">
        <f t="shared" si="9"/>
        <v>284</v>
      </c>
      <c r="O28" s="660">
        <f t="shared" si="9"/>
        <v>2118</v>
      </c>
      <c r="P28" s="660">
        <f t="shared" si="9"/>
        <v>0</v>
      </c>
      <c r="Q28" s="660">
        <f t="shared" si="9"/>
        <v>0</v>
      </c>
      <c r="R28" s="660">
        <f t="shared" si="9"/>
        <v>0</v>
      </c>
      <c r="S28" s="660">
        <f t="shared" si="9"/>
        <v>2118</v>
      </c>
      <c r="T28" s="660"/>
    </row>
    <row r="29" spans="1:20" s="21" customFormat="1" ht="18" customHeight="1">
      <c r="A29" s="274">
        <v>1</v>
      </c>
      <c r="B29" s="315" t="s">
        <v>435</v>
      </c>
      <c r="C29" s="662">
        <v>3</v>
      </c>
      <c r="D29" s="662">
        <v>3</v>
      </c>
      <c r="E29" s="657">
        <f>C29*25</f>
        <v>75</v>
      </c>
      <c r="F29" s="657">
        <v>196</v>
      </c>
      <c r="G29" s="657">
        <f aca="true" t="shared" si="10" ref="G29:G35">E29+F29</f>
        <v>271</v>
      </c>
      <c r="H29" s="657">
        <v>8</v>
      </c>
      <c r="I29" s="657">
        <f aca="true" t="shared" si="11" ref="I29:I35">G29-H29</f>
        <v>263</v>
      </c>
      <c r="J29" s="368"/>
      <c r="K29" s="346">
        <v>0</v>
      </c>
      <c r="L29" s="657"/>
      <c r="M29" s="657"/>
      <c r="N29" s="657">
        <f aca="true" t="shared" si="12" ref="N29:N35">(J29+K29+L29)-M29</f>
        <v>0</v>
      </c>
      <c r="O29" s="657">
        <f aca="true" t="shared" si="13" ref="O29:O35">I29+N29</f>
        <v>263</v>
      </c>
      <c r="P29" s="333"/>
      <c r="Q29" s="333"/>
      <c r="R29" s="333"/>
      <c r="S29" s="346">
        <f>O29-Q29</f>
        <v>263</v>
      </c>
      <c r="T29" s="20" t="s">
        <v>777</v>
      </c>
    </row>
    <row r="30" spans="1:20" s="21" customFormat="1" ht="18" customHeight="1">
      <c r="A30" s="274">
        <v>2</v>
      </c>
      <c r="B30" s="315" t="s">
        <v>436</v>
      </c>
      <c r="C30" s="662">
        <v>3</v>
      </c>
      <c r="D30" s="662">
        <v>3</v>
      </c>
      <c r="E30" s="657">
        <f aca="true" t="shared" si="14" ref="E30:E35">C30*25</f>
        <v>75</v>
      </c>
      <c r="F30" s="657">
        <v>191</v>
      </c>
      <c r="G30" s="657">
        <f t="shared" si="10"/>
        <v>266</v>
      </c>
      <c r="H30" s="657">
        <v>8</v>
      </c>
      <c r="I30" s="657">
        <f t="shared" si="11"/>
        <v>258</v>
      </c>
      <c r="J30" s="368"/>
      <c r="K30" s="346">
        <f>'DAC THU'!D25</f>
        <v>100</v>
      </c>
      <c r="L30" s="657"/>
      <c r="M30" s="657"/>
      <c r="N30" s="657">
        <f t="shared" si="12"/>
        <v>100</v>
      </c>
      <c r="O30" s="657">
        <f t="shared" si="13"/>
        <v>358</v>
      </c>
      <c r="P30" s="347"/>
      <c r="Q30" s="347"/>
      <c r="R30" s="347"/>
      <c r="S30" s="346">
        <f aca="true" t="shared" si="15" ref="S30:S35">O30-Q30</f>
        <v>358</v>
      </c>
      <c r="T30" s="20" t="s">
        <v>777</v>
      </c>
    </row>
    <row r="31" spans="1:20" s="21" customFormat="1" ht="18" customHeight="1">
      <c r="A31" s="274">
        <v>3</v>
      </c>
      <c r="B31" s="315" t="s">
        <v>437</v>
      </c>
      <c r="C31" s="662">
        <v>4</v>
      </c>
      <c r="D31" s="662">
        <v>3</v>
      </c>
      <c r="E31" s="657">
        <f t="shared" si="14"/>
        <v>100</v>
      </c>
      <c r="F31" s="657">
        <v>224</v>
      </c>
      <c r="G31" s="657">
        <f t="shared" si="10"/>
        <v>324</v>
      </c>
      <c r="H31" s="657">
        <v>10</v>
      </c>
      <c r="I31" s="657">
        <f t="shared" si="11"/>
        <v>314</v>
      </c>
      <c r="J31" s="368"/>
      <c r="K31" s="346"/>
      <c r="L31" s="657"/>
      <c r="M31" s="657"/>
      <c r="N31" s="657">
        <f t="shared" si="12"/>
        <v>0</v>
      </c>
      <c r="O31" s="657">
        <f t="shared" si="13"/>
        <v>314</v>
      </c>
      <c r="P31" s="347"/>
      <c r="Q31" s="347"/>
      <c r="R31" s="347"/>
      <c r="S31" s="346">
        <f t="shared" si="15"/>
        <v>314</v>
      </c>
      <c r="T31" s="20" t="s">
        <v>777</v>
      </c>
    </row>
    <row r="32" spans="1:20" s="21" customFormat="1" ht="35.25" customHeight="1">
      <c r="A32" s="274">
        <v>4</v>
      </c>
      <c r="B32" s="315" t="s">
        <v>438</v>
      </c>
      <c r="C32" s="662">
        <v>3</v>
      </c>
      <c r="D32" s="662">
        <v>3</v>
      </c>
      <c r="E32" s="657">
        <f t="shared" si="14"/>
        <v>75</v>
      </c>
      <c r="F32" s="657">
        <v>173</v>
      </c>
      <c r="G32" s="657">
        <f t="shared" si="10"/>
        <v>248</v>
      </c>
      <c r="H32" s="657">
        <v>8</v>
      </c>
      <c r="I32" s="657">
        <f t="shared" si="11"/>
        <v>240</v>
      </c>
      <c r="J32" s="368"/>
      <c r="K32" s="346">
        <v>0</v>
      </c>
      <c r="L32" s="657"/>
      <c r="M32" s="657"/>
      <c r="N32" s="657">
        <f t="shared" si="12"/>
        <v>0</v>
      </c>
      <c r="O32" s="657">
        <f t="shared" si="13"/>
        <v>240</v>
      </c>
      <c r="P32" s="333"/>
      <c r="Q32" s="333"/>
      <c r="R32" s="333"/>
      <c r="S32" s="346">
        <f t="shared" si="15"/>
        <v>240</v>
      </c>
      <c r="T32" s="20" t="s">
        <v>777</v>
      </c>
    </row>
    <row r="33" spans="1:20" s="21" customFormat="1" ht="18" customHeight="1">
      <c r="A33" s="274">
        <v>5</v>
      </c>
      <c r="B33" s="315" t="s">
        <v>439</v>
      </c>
      <c r="C33" s="662">
        <v>4</v>
      </c>
      <c r="D33" s="662">
        <v>4</v>
      </c>
      <c r="E33" s="657">
        <f t="shared" si="14"/>
        <v>100</v>
      </c>
      <c r="F33" s="657">
        <v>232</v>
      </c>
      <c r="G33" s="657">
        <f t="shared" si="10"/>
        <v>332</v>
      </c>
      <c r="H33" s="657">
        <v>10</v>
      </c>
      <c r="I33" s="657">
        <f t="shared" si="11"/>
        <v>322</v>
      </c>
      <c r="J33" s="368"/>
      <c r="K33" s="346">
        <v>0</v>
      </c>
      <c r="L33" s="657"/>
      <c r="M33" s="657"/>
      <c r="N33" s="657">
        <f t="shared" si="12"/>
        <v>0</v>
      </c>
      <c r="O33" s="657">
        <f t="shared" si="13"/>
        <v>322</v>
      </c>
      <c r="P33" s="347"/>
      <c r="Q33" s="347"/>
      <c r="R33" s="347"/>
      <c r="S33" s="346">
        <f t="shared" si="15"/>
        <v>322</v>
      </c>
      <c r="T33" s="20" t="s">
        <v>777</v>
      </c>
    </row>
    <row r="34" spans="1:20" s="21" customFormat="1" ht="18" customHeight="1">
      <c r="A34" s="274">
        <v>6</v>
      </c>
      <c r="B34" s="315" t="s">
        <v>440</v>
      </c>
      <c r="C34" s="662"/>
      <c r="D34" s="662"/>
      <c r="E34" s="657">
        <f t="shared" si="14"/>
        <v>0</v>
      </c>
      <c r="F34" s="657"/>
      <c r="G34" s="657">
        <f t="shared" si="10"/>
        <v>0</v>
      </c>
      <c r="H34" s="657">
        <f>E34*10%</f>
        <v>0</v>
      </c>
      <c r="I34" s="657">
        <f t="shared" si="11"/>
        <v>0</v>
      </c>
      <c r="J34" s="368"/>
      <c r="K34" s="346">
        <f>'DAC THU'!D27</f>
        <v>60</v>
      </c>
      <c r="L34" s="657"/>
      <c r="M34" s="657"/>
      <c r="N34" s="657">
        <f t="shared" si="12"/>
        <v>60</v>
      </c>
      <c r="O34" s="657">
        <f t="shared" si="13"/>
        <v>60</v>
      </c>
      <c r="P34" s="347"/>
      <c r="Q34" s="347"/>
      <c r="R34" s="347"/>
      <c r="S34" s="346">
        <f t="shared" si="15"/>
        <v>60</v>
      </c>
      <c r="T34" s="20"/>
    </row>
    <row r="35" spans="1:20" s="21" customFormat="1" ht="18" customHeight="1">
      <c r="A35" s="274">
        <v>7</v>
      </c>
      <c r="B35" s="315" t="s">
        <v>441</v>
      </c>
      <c r="C35" s="662">
        <v>5</v>
      </c>
      <c r="D35" s="662">
        <v>3</v>
      </c>
      <c r="E35" s="657">
        <f t="shared" si="14"/>
        <v>125</v>
      </c>
      <c r="F35" s="657">
        <v>325</v>
      </c>
      <c r="G35" s="657">
        <f t="shared" si="10"/>
        <v>450</v>
      </c>
      <c r="H35" s="657">
        <v>13</v>
      </c>
      <c r="I35" s="657">
        <f t="shared" si="11"/>
        <v>437</v>
      </c>
      <c r="J35" s="368"/>
      <c r="K35" s="346">
        <f>'DAC THU'!D29</f>
        <v>124</v>
      </c>
      <c r="L35" s="657"/>
      <c r="M35" s="657"/>
      <c r="N35" s="657">
        <f t="shared" si="12"/>
        <v>124</v>
      </c>
      <c r="O35" s="657">
        <f t="shared" si="13"/>
        <v>561</v>
      </c>
      <c r="P35" s="347"/>
      <c r="Q35" s="347"/>
      <c r="R35" s="347"/>
      <c r="S35" s="346">
        <f t="shared" si="15"/>
        <v>561</v>
      </c>
      <c r="T35" s="20" t="s">
        <v>777</v>
      </c>
    </row>
    <row r="36" spans="1:20" ht="18" customHeight="1">
      <c r="A36" s="139" t="s">
        <v>298</v>
      </c>
      <c r="B36" s="140" t="s">
        <v>442</v>
      </c>
      <c r="C36" s="38">
        <f>C37+C40+C41+C42+C45+C46+C49+C51+C52+C60+C63+C66+C69</f>
        <v>148</v>
      </c>
      <c r="D36" s="38">
        <f aca="true" t="shared" si="16" ref="D36:S36">D37+D40+D41+D42+D45+D46+D49+D51+D52+D60+D63+D66+D69</f>
        <v>130</v>
      </c>
      <c r="E36" s="38">
        <f t="shared" si="16"/>
        <v>9170</v>
      </c>
      <c r="F36" s="38">
        <f t="shared" si="16"/>
        <v>12209</v>
      </c>
      <c r="G36" s="38">
        <f t="shared" si="16"/>
        <v>21379</v>
      </c>
      <c r="H36" s="38">
        <f t="shared" si="16"/>
        <v>917</v>
      </c>
      <c r="I36" s="38">
        <f t="shared" si="16"/>
        <v>20462</v>
      </c>
      <c r="J36" s="448">
        <f t="shared" si="16"/>
        <v>0</v>
      </c>
      <c r="K36" s="38">
        <f t="shared" si="16"/>
        <v>6360</v>
      </c>
      <c r="L36" s="38">
        <f t="shared" si="16"/>
        <v>241</v>
      </c>
      <c r="M36" s="38">
        <f t="shared" si="16"/>
        <v>24</v>
      </c>
      <c r="N36" s="38">
        <f t="shared" si="16"/>
        <v>6577</v>
      </c>
      <c r="O36" s="38">
        <f t="shared" si="16"/>
        <v>27039</v>
      </c>
      <c r="P36" s="38">
        <f t="shared" si="16"/>
        <v>432</v>
      </c>
      <c r="Q36" s="38">
        <f t="shared" si="16"/>
        <v>259</v>
      </c>
      <c r="R36" s="38">
        <f t="shared" si="16"/>
        <v>173</v>
      </c>
      <c r="S36" s="38">
        <f t="shared" si="16"/>
        <v>26780</v>
      </c>
      <c r="T36" s="38"/>
    </row>
    <row r="37" spans="1:20" ht="18" customHeight="1">
      <c r="A37" s="141">
        <v>1</v>
      </c>
      <c r="B37" s="663" t="s">
        <v>418</v>
      </c>
      <c r="C37" s="40">
        <f>C38+C39</f>
        <v>14</v>
      </c>
      <c r="D37" s="40">
        <f aca="true" t="shared" si="17" ref="D37:O37">D38+D39</f>
        <v>14</v>
      </c>
      <c r="E37" s="40">
        <f t="shared" si="17"/>
        <v>845</v>
      </c>
      <c r="F37" s="40">
        <f>F38+F39</f>
        <v>1120</v>
      </c>
      <c r="G37" s="40">
        <f t="shared" si="17"/>
        <v>1965</v>
      </c>
      <c r="H37" s="40">
        <f t="shared" si="17"/>
        <v>84.5</v>
      </c>
      <c r="I37" s="40">
        <f t="shared" si="17"/>
        <v>1880.5</v>
      </c>
      <c r="J37" s="664">
        <f t="shared" si="17"/>
        <v>0</v>
      </c>
      <c r="K37" s="664">
        <f t="shared" si="17"/>
        <v>300</v>
      </c>
      <c r="L37" s="40">
        <f t="shared" si="17"/>
        <v>0</v>
      </c>
      <c r="M37" s="40">
        <f t="shared" si="17"/>
        <v>0</v>
      </c>
      <c r="N37" s="40">
        <f t="shared" si="17"/>
        <v>300</v>
      </c>
      <c r="O37" s="40">
        <f t="shared" si="17"/>
        <v>2180.5</v>
      </c>
      <c r="P37" s="446"/>
      <c r="Q37" s="446"/>
      <c r="R37" s="446"/>
      <c r="S37" s="346">
        <f>O37-Q37</f>
        <v>2180.5</v>
      </c>
      <c r="T37" s="20" t="s">
        <v>763</v>
      </c>
    </row>
    <row r="38" spans="1:20" ht="18" customHeight="1">
      <c r="A38" s="665"/>
      <c r="B38" s="881" t="s">
        <v>513</v>
      </c>
      <c r="C38" s="669">
        <v>13</v>
      </c>
      <c r="D38" s="669">
        <v>13</v>
      </c>
      <c r="E38" s="669">
        <f>C38*65</f>
        <v>845</v>
      </c>
      <c r="F38" s="669">
        <v>1120</v>
      </c>
      <c r="G38" s="669">
        <f>E38+F38</f>
        <v>1965</v>
      </c>
      <c r="H38" s="670">
        <f>E38*10%</f>
        <v>84.5</v>
      </c>
      <c r="I38" s="670">
        <f>G38-H38</f>
        <v>1880.5</v>
      </c>
      <c r="J38" s="671"/>
      <c r="K38" s="669">
        <f>'DAC THU'!D40</f>
        <v>300</v>
      </c>
      <c r="L38" s="669"/>
      <c r="M38" s="669"/>
      <c r="N38" s="670">
        <f aca="true" t="shared" si="18" ref="N38:N69">(J38+K38+L38)-M38</f>
        <v>300</v>
      </c>
      <c r="O38" s="670">
        <f>I38+N38</f>
        <v>2180.5</v>
      </c>
      <c r="P38" s="883"/>
      <c r="Q38" s="883"/>
      <c r="R38" s="883"/>
      <c r="S38" s="876">
        <f aca="true" t="shared" si="19" ref="S38:S69">O38-Q38</f>
        <v>2180.5</v>
      </c>
      <c r="T38" s="20"/>
    </row>
    <row r="39" spans="1:20" ht="18" customHeight="1">
      <c r="A39" s="141"/>
      <c r="B39" s="881" t="s">
        <v>2</v>
      </c>
      <c r="C39" s="669">
        <v>1</v>
      </c>
      <c r="D39" s="669">
        <v>1</v>
      </c>
      <c r="E39" s="669"/>
      <c r="F39" s="669"/>
      <c r="G39" s="669">
        <f>E39+F39</f>
        <v>0</v>
      </c>
      <c r="H39" s="670"/>
      <c r="I39" s="670">
        <f>G39-H39</f>
        <v>0</v>
      </c>
      <c r="J39" s="671"/>
      <c r="K39" s="669"/>
      <c r="L39" s="669"/>
      <c r="M39" s="669"/>
      <c r="N39" s="670">
        <f t="shared" si="18"/>
        <v>0</v>
      </c>
      <c r="O39" s="670">
        <f>I39+N39</f>
        <v>0</v>
      </c>
      <c r="P39" s="880"/>
      <c r="Q39" s="880"/>
      <c r="R39" s="880"/>
      <c r="S39" s="876">
        <f t="shared" si="19"/>
        <v>0</v>
      </c>
      <c r="T39" s="666"/>
    </row>
    <row r="40" spans="1:20" ht="18" customHeight="1">
      <c r="A40" s="141">
        <v>2</v>
      </c>
      <c r="B40" s="663" t="s">
        <v>512</v>
      </c>
      <c r="C40" s="40">
        <v>6</v>
      </c>
      <c r="D40" s="40">
        <v>6</v>
      </c>
      <c r="E40" s="40">
        <f>C40*65</f>
        <v>390</v>
      </c>
      <c r="F40" s="40">
        <v>479</v>
      </c>
      <c r="G40" s="40">
        <f>E40+F40</f>
        <v>869</v>
      </c>
      <c r="H40" s="41">
        <f>E40*10%</f>
        <v>39</v>
      </c>
      <c r="I40" s="41">
        <f>G40-H40</f>
        <v>830</v>
      </c>
      <c r="J40" s="367"/>
      <c r="K40" s="40">
        <f>'DAC THU'!D35</f>
        <v>300</v>
      </c>
      <c r="L40" s="40">
        <f>'PL 05'!T17</f>
        <v>19</v>
      </c>
      <c r="M40" s="40">
        <f>'PL 05'!U17</f>
        <v>2</v>
      </c>
      <c r="N40" s="41">
        <f t="shared" si="18"/>
        <v>317</v>
      </c>
      <c r="O40" s="41">
        <f>I40+N40</f>
        <v>1147</v>
      </c>
      <c r="P40" s="347"/>
      <c r="Q40" s="347"/>
      <c r="R40" s="347"/>
      <c r="S40" s="346">
        <f t="shared" si="19"/>
        <v>1147</v>
      </c>
      <c r="T40" s="20" t="s">
        <v>763</v>
      </c>
    </row>
    <row r="41" spans="1:20" ht="18" customHeight="1">
      <c r="A41" s="141">
        <v>3</v>
      </c>
      <c r="B41" s="663" t="s">
        <v>419</v>
      </c>
      <c r="C41" s="40">
        <v>4</v>
      </c>
      <c r="D41" s="40">
        <v>4</v>
      </c>
      <c r="E41" s="40">
        <f>C41*65</f>
        <v>260</v>
      </c>
      <c r="F41" s="40">
        <v>360</v>
      </c>
      <c r="G41" s="40">
        <f>E41+F41</f>
        <v>620</v>
      </c>
      <c r="H41" s="41">
        <f>E41*10%</f>
        <v>26</v>
      </c>
      <c r="I41" s="41">
        <f>G41-H41</f>
        <v>594</v>
      </c>
      <c r="J41" s="367"/>
      <c r="K41" s="40">
        <f>'DAC THU'!D43</f>
        <v>100</v>
      </c>
      <c r="L41" s="40"/>
      <c r="M41" s="40"/>
      <c r="N41" s="41">
        <f t="shared" si="18"/>
        <v>100</v>
      </c>
      <c r="O41" s="41">
        <f>I41+N41</f>
        <v>694</v>
      </c>
      <c r="P41" s="371"/>
      <c r="Q41" s="371"/>
      <c r="R41" s="371"/>
      <c r="S41" s="346">
        <f t="shared" si="19"/>
        <v>694</v>
      </c>
      <c r="T41" s="20" t="s">
        <v>763</v>
      </c>
    </row>
    <row r="42" spans="1:20" ht="18" customHeight="1">
      <c r="A42" s="141">
        <v>4</v>
      </c>
      <c r="B42" s="663" t="s">
        <v>420</v>
      </c>
      <c r="C42" s="40">
        <f>C43+C44</f>
        <v>12</v>
      </c>
      <c r="D42" s="40">
        <f aca="true" t="shared" si="20" ref="D42:O42">D43+D44</f>
        <v>10</v>
      </c>
      <c r="E42" s="40">
        <f t="shared" si="20"/>
        <v>715</v>
      </c>
      <c r="F42" s="40">
        <f>F43+F44</f>
        <v>1137</v>
      </c>
      <c r="G42" s="40">
        <f t="shared" si="20"/>
        <v>1852</v>
      </c>
      <c r="H42" s="40">
        <f t="shared" si="20"/>
        <v>71.5</v>
      </c>
      <c r="I42" s="40">
        <f t="shared" si="20"/>
        <v>1780.5</v>
      </c>
      <c r="J42" s="664">
        <f t="shared" si="20"/>
        <v>0</v>
      </c>
      <c r="K42" s="40">
        <f t="shared" si="20"/>
        <v>0</v>
      </c>
      <c r="L42" s="40">
        <f t="shared" si="20"/>
        <v>0</v>
      </c>
      <c r="M42" s="40">
        <f t="shared" si="20"/>
        <v>0</v>
      </c>
      <c r="N42" s="41">
        <f t="shared" si="18"/>
        <v>0</v>
      </c>
      <c r="O42" s="40">
        <f t="shared" si="20"/>
        <v>1780.5</v>
      </c>
      <c r="P42" s="371"/>
      <c r="Q42" s="371"/>
      <c r="R42" s="371"/>
      <c r="S42" s="346">
        <f t="shared" si="19"/>
        <v>1780.5</v>
      </c>
      <c r="T42" s="20" t="s">
        <v>763</v>
      </c>
    </row>
    <row r="43" spans="1:20" ht="18" customHeight="1">
      <c r="A43" s="311"/>
      <c r="B43" s="881" t="s">
        <v>513</v>
      </c>
      <c r="C43" s="669">
        <v>11</v>
      </c>
      <c r="D43" s="669">
        <v>9</v>
      </c>
      <c r="E43" s="669">
        <f>C43*65</f>
        <v>715</v>
      </c>
      <c r="F43" s="669">
        <v>1137</v>
      </c>
      <c r="G43" s="669">
        <f>E43+F43</f>
        <v>1852</v>
      </c>
      <c r="H43" s="670">
        <f>E43*10%</f>
        <v>71.5</v>
      </c>
      <c r="I43" s="670">
        <f>G43-H43</f>
        <v>1780.5</v>
      </c>
      <c r="J43" s="671">
        <v>0</v>
      </c>
      <c r="K43" s="669"/>
      <c r="L43" s="669"/>
      <c r="M43" s="669">
        <v>0</v>
      </c>
      <c r="N43" s="670">
        <f t="shared" si="18"/>
        <v>0</v>
      </c>
      <c r="O43" s="670">
        <f aca="true" t="shared" si="21" ref="O43:O51">I43+N43</f>
        <v>1780.5</v>
      </c>
      <c r="P43" s="882"/>
      <c r="Q43" s="882"/>
      <c r="R43" s="882"/>
      <c r="S43" s="876">
        <f t="shared" si="19"/>
        <v>1780.5</v>
      </c>
      <c r="T43" s="20"/>
    </row>
    <row r="44" spans="1:20" ht="18" customHeight="1">
      <c r="A44" s="141"/>
      <c r="B44" s="881" t="s">
        <v>2</v>
      </c>
      <c r="C44" s="669">
        <v>1</v>
      </c>
      <c r="D44" s="669">
        <v>1</v>
      </c>
      <c r="E44" s="669"/>
      <c r="F44" s="669"/>
      <c r="G44" s="669">
        <f>E44+F44</f>
        <v>0</v>
      </c>
      <c r="H44" s="670"/>
      <c r="I44" s="670">
        <f>G44-H44</f>
        <v>0</v>
      </c>
      <c r="J44" s="671"/>
      <c r="K44" s="669"/>
      <c r="L44" s="669"/>
      <c r="M44" s="669"/>
      <c r="N44" s="670">
        <f t="shared" si="18"/>
        <v>0</v>
      </c>
      <c r="O44" s="670">
        <f t="shared" si="21"/>
        <v>0</v>
      </c>
      <c r="P44" s="882"/>
      <c r="Q44" s="882"/>
      <c r="R44" s="882"/>
      <c r="S44" s="876">
        <f t="shared" si="19"/>
        <v>0</v>
      </c>
      <c r="T44" s="20"/>
    </row>
    <row r="45" spans="1:20" ht="18" customHeight="1">
      <c r="A45" s="141">
        <v>5</v>
      </c>
      <c r="B45" s="663" t="s">
        <v>613</v>
      </c>
      <c r="C45" s="40">
        <f>7</f>
        <v>7</v>
      </c>
      <c r="D45" s="40">
        <v>5</v>
      </c>
      <c r="E45" s="40">
        <f>C45*65</f>
        <v>455</v>
      </c>
      <c r="F45" s="40">
        <v>605</v>
      </c>
      <c r="G45" s="40">
        <f>E45+F45</f>
        <v>1060</v>
      </c>
      <c r="H45" s="41">
        <f>E45*10%</f>
        <v>45.5</v>
      </c>
      <c r="I45" s="41">
        <f>G45-H45</f>
        <v>1014.5</v>
      </c>
      <c r="J45" s="367"/>
      <c r="K45" s="40"/>
      <c r="L45" s="40">
        <f>'PL 05'!T16</f>
        <v>19</v>
      </c>
      <c r="M45" s="40">
        <f>'PL 05'!U16</f>
        <v>2</v>
      </c>
      <c r="N45" s="41">
        <f t="shared" si="18"/>
        <v>17</v>
      </c>
      <c r="O45" s="41">
        <f t="shared" si="21"/>
        <v>1031.5</v>
      </c>
      <c r="P45" s="371"/>
      <c r="Q45" s="371"/>
      <c r="R45" s="371"/>
      <c r="S45" s="346">
        <f t="shared" si="19"/>
        <v>1031.5</v>
      </c>
      <c r="T45" s="20" t="s">
        <v>763</v>
      </c>
    </row>
    <row r="46" spans="1:20" ht="18" customHeight="1">
      <c r="A46" s="141">
        <v>6</v>
      </c>
      <c r="B46" s="663" t="s">
        <v>421</v>
      </c>
      <c r="C46" s="40">
        <f>C47+C48</f>
        <v>14</v>
      </c>
      <c r="D46" s="40">
        <f>D47+D48</f>
        <v>8</v>
      </c>
      <c r="E46" s="40">
        <f aca="true" t="shared" si="22" ref="E46:S46">E47+E48</f>
        <v>845</v>
      </c>
      <c r="F46" s="40">
        <f t="shared" si="22"/>
        <v>636</v>
      </c>
      <c r="G46" s="40">
        <f t="shared" si="22"/>
        <v>1481</v>
      </c>
      <c r="H46" s="40">
        <f t="shared" si="22"/>
        <v>84.5</v>
      </c>
      <c r="I46" s="40">
        <f t="shared" si="22"/>
        <v>1396.5</v>
      </c>
      <c r="J46" s="664">
        <f t="shared" si="22"/>
        <v>0</v>
      </c>
      <c r="K46" s="40">
        <f t="shared" si="22"/>
        <v>0</v>
      </c>
      <c r="L46" s="40">
        <f t="shared" si="22"/>
        <v>0</v>
      </c>
      <c r="M46" s="40">
        <f t="shared" si="22"/>
        <v>0</v>
      </c>
      <c r="N46" s="40">
        <f t="shared" si="22"/>
        <v>0</v>
      </c>
      <c r="O46" s="40">
        <f t="shared" si="22"/>
        <v>1396.5</v>
      </c>
      <c r="P46" s="40">
        <f t="shared" si="22"/>
        <v>307</v>
      </c>
      <c r="Q46" s="40">
        <f t="shared" si="22"/>
        <v>184</v>
      </c>
      <c r="R46" s="40">
        <f t="shared" si="22"/>
        <v>123</v>
      </c>
      <c r="S46" s="40">
        <f t="shared" si="22"/>
        <v>1212.5</v>
      </c>
      <c r="T46" s="20" t="s">
        <v>763</v>
      </c>
    </row>
    <row r="47" spans="1:20" ht="18" customHeight="1">
      <c r="A47" s="141"/>
      <c r="B47" s="881" t="s">
        <v>513</v>
      </c>
      <c r="C47" s="669">
        <v>13</v>
      </c>
      <c r="D47" s="669">
        <v>7</v>
      </c>
      <c r="E47" s="669">
        <f>C47*65</f>
        <v>845</v>
      </c>
      <c r="F47" s="669">
        <v>636</v>
      </c>
      <c r="G47" s="669">
        <f>E47+F47</f>
        <v>1481</v>
      </c>
      <c r="H47" s="670">
        <f>E47*10%</f>
        <v>84.5</v>
      </c>
      <c r="I47" s="670">
        <f>G47-H47</f>
        <v>1396.5</v>
      </c>
      <c r="J47" s="671">
        <v>0</v>
      </c>
      <c r="K47" s="669">
        <v>0</v>
      </c>
      <c r="L47" s="669">
        <v>0</v>
      </c>
      <c r="M47" s="669">
        <v>0</v>
      </c>
      <c r="N47" s="670">
        <v>0</v>
      </c>
      <c r="O47" s="670">
        <f>I47+N47</f>
        <v>1396.5</v>
      </c>
      <c r="P47" s="882">
        <v>307</v>
      </c>
      <c r="Q47" s="882">
        <v>184</v>
      </c>
      <c r="R47" s="882">
        <f>P47-Q47</f>
        <v>123</v>
      </c>
      <c r="S47" s="876">
        <f t="shared" si="19"/>
        <v>1212.5</v>
      </c>
      <c r="T47" s="672"/>
    </row>
    <row r="48" spans="1:20" ht="18" customHeight="1">
      <c r="A48" s="141"/>
      <c r="B48" s="881" t="s">
        <v>2</v>
      </c>
      <c r="C48" s="669">
        <v>1</v>
      </c>
      <c r="D48" s="669">
        <v>1</v>
      </c>
      <c r="E48" s="669"/>
      <c r="F48" s="669"/>
      <c r="G48" s="669"/>
      <c r="H48" s="670"/>
      <c r="I48" s="670"/>
      <c r="J48" s="671"/>
      <c r="K48" s="669"/>
      <c r="L48" s="669"/>
      <c r="M48" s="669"/>
      <c r="N48" s="670"/>
      <c r="O48" s="670"/>
      <c r="P48" s="880"/>
      <c r="Q48" s="880"/>
      <c r="R48" s="880"/>
      <c r="S48" s="876">
        <f t="shared" si="19"/>
        <v>0</v>
      </c>
      <c r="T48" s="672"/>
    </row>
    <row r="49" spans="1:20" ht="18" customHeight="1">
      <c r="A49" s="141">
        <v>7</v>
      </c>
      <c r="B49" s="663" t="s">
        <v>703</v>
      </c>
      <c r="C49" s="40">
        <v>11</v>
      </c>
      <c r="D49" s="40">
        <v>9</v>
      </c>
      <c r="E49" s="40">
        <f>C49*65</f>
        <v>715</v>
      </c>
      <c r="F49" s="40">
        <v>839</v>
      </c>
      <c r="G49" s="40">
        <f>E49+F49</f>
        <v>1554</v>
      </c>
      <c r="H49" s="40">
        <f>E49*10%</f>
        <v>71.5</v>
      </c>
      <c r="I49" s="40">
        <f>G49-H49</f>
        <v>1482.5</v>
      </c>
      <c r="J49" s="664">
        <v>0</v>
      </c>
      <c r="K49" s="40">
        <v>0</v>
      </c>
      <c r="L49" s="40">
        <v>0</v>
      </c>
      <c r="M49" s="40">
        <v>0</v>
      </c>
      <c r="N49" s="40">
        <v>0</v>
      </c>
      <c r="O49" s="41">
        <f>I49+N49</f>
        <v>1482.5</v>
      </c>
      <c r="P49" s="347">
        <v>125</v>
      </c>
      <c r="Q49" s="347">
        <v>75</v>
      </c>
      <c r="R49" s="347">
        <v>50</v>
      </c>
      <c r="S49" s="346">
        <f t="shared" si="19"/>
        <v>1407.5</v>
      </c>
      <c r="T49" s="20" t="s">
        <v>763</v>
      </c>
    </row>
    <row r="50" spans="1:20" ht="18" customHeight="1" hidden="1">
      <c r="A50" s="141"/>
      <c r="B50" s="137" t="s">
        <v>514</v>
      </c>
      <c r="C50" s="40"/>
      <c r="D50" s="40">
        <v>0</v>
      </c>
      <c r="E50" s="40">
        <f>C50*55</f>
        <v>0</v>
      </c>
      <c r="F50" s="40" t="e">
        <f>SUM(#REF!)*1.49*12</f>
        <v>#REF!</v>
      </c>
      <c r="G50" s="40" t="e">
        <f>E50+F50</f>
        <v>#REF!</v>
      </c>
      <c r="H50" s="41"/>
      <c r="I50" s="41" t="e">
        <f>G50-H50</f>
        <v>#REF!</v>
      </c>
      <c r="J50" s="367"/>
      <c r="K50" s="40"/>
      <c r="L50" s="40"/>
      <c r="M50" s="40"/>
      <c r="N50" s="41">
        <f t="shared" si="18"/>
        <v>0</v>
      </c>
      <c r="O50" s="41" t="e">
        <f t="shared" si="21"/>
        <v>#REF!</v>
      </c>
      <c r="P50" s="347"/>
      <c r="Q50" s="347"/>
      <c r="R50" s="347"/>
      <c r="S50" s="346" t="e">
        <f t="shared" si="19"/>
        <v>#REF!</v>
      </c>
      <c r="T50" s="20" t="s">
        <v>763</v>
      </c>
    </row>
    <row r="51" spans="1:20" ht="18" customHeight="1">
      <c r="A51" s="141">
        <v>8</v>
      </c>
      <c r="B51" s="663" t="s">
        <v>422</v>
      </c>
      <c r="C51" s="40">
        <v>11</v>
      </c>
      <c r="D51" s="40">
        <v>10</v>
      </c>
      <c r="E51" s="40">
        <f>C51*65</f>
        <v>715</v>
      </c>
      <c r="F51" s="40">
        <v>1019</v>
      </c>
      <c r="G51" s="40">
        <f>E51+F51</f>
        <v>1734</v>
      </c>
      <c r="H51" s="41">
        <f>E51*10%</f>
        <v>71.5</v>
      </c>
      <c r="I51" s="41">
        <f>G51-H51</f>
        <v>1662.5</v>
      </c>
      <c r="J51" s="367">
        <v>0</v>
      </c>
      <c r="K51" s="40"/>
      <c r="L51" s="40"/>
      <c r="M51" s="40"/>
      <c r="N51" s="41">
        <f t="shared" si="18"/>
        <v>0</v>
      </c>
      <c r="O51" s="41">
        <f t="shared" si="21"/>
        <v>1662.5</v>
      </c>
      <c r="P51" s="347"/>
      <c r="Q51" s="347"/>
      <c r="R51" s="347"/>
      <c r="S51" s="346">
        <f t="shared" si="19"/>
        <v>1662.5</v>
      </c>
      <c r="T51" s="20" t="s">
        <v>763</v>
      </c>
    </row>
    <row r="52" spans="1:20" ht="21.75" customHeight="1">
      <c r="A52" s="141">
        <v>9</v>
      </c>
      <c r="B52" s="663" t="s">
        <v>425</v>
      </c>
      <c r="C52" s="40">
        <f>C53+C54</f>
        <v>31</v>
      </c>
      <c r="D52" s="40">
        <f>D53+D54</f>
        <v>30</v>
      </c>
      <c r="E52" s="40">
        <f>E53+E54</f>
        <v>1890</v>
      </c>
      <c r="F52" s="40">
        <f aca="true" t="shared" si="23" ref="F52:M52">SUM(F53:F59)</f>
        <v>2776</v>
      </c>
      <c r="G52" s="40">
        <f t="shared" si="23"/>
        <v>4666</v>
      </c>
      <c r="H52" s="40">
        <f t="shared" si="23"/>
        <v>189</v>
      </c>
      <c r="I52" s="40">
        <f t="shared" si="23"/>
        <v>4477</v>
      </c>
      <c r="J52" s="664">
        <f t="shared" si="23"/>
        <v>0</v>
      </c>
      <c r="K52" s="40">
        <f t="shared" si="23"/>
        <v>3500</v>
      </c>
      <c r="L52" s="40">
        <f t="shared" si="23"/>
        <v>101</v>
      </c>
      <c r="M52" s="40">
        <f t="shared" si="23"/>
        <v>10</v>
      </c>
      <c r="N52" s="41">
        <f t="shared" si="18"/>
        <v>3591</v>
      </c>
      <c r="O52" s="40">
        <f>SUM(O53:O59)</f>
        <v>8068</v>
      </c>
      <c r="P52" s="347"/>
      <c r="Q52" s="347"/>
      <c r="R52" s="347"/>
      <c r="S52" s="346">
        <f t="shared" si="19"/>
        <v>8068</v>
      </c>
      <c r="T52" s="20" t="s">
        <v>765</v>
      </c>
    </row>
    <row r="53" spans="1:20" s="667" customFormat="1" ht="18" customHeight="1">
      <c r="A53" s="141"/>
      <c r="B53" s="137" t="s">
        <v>513</v>
      </c>
      <c r="C53" s="40">
        <v>27</v>
      </c>
      <c r="D53" s="40">
        <v>26</v>
      </c>
      <c r="E53" s="40">
        <f>C53*70</f>
        <v>1890</v>
      </c>
      <c r="F53" s="40">
        <v>2696</v>
      </c>
      <c r="G53" s="40">
        <f aca="true" t="shared" si="24" ref="G53:G58">E53+F53</f>
        <v>4586</v>
      </c>
      <c r="H53" s="41">
        <f>E53*10%</f>
        <v>189</v>
      </c>
      <c r="I53" s="41">
        <f aca="true" t="shared" si="25" ref="I53:I58">G53-H53</f>
        <v>4397</v>
      </c>
      <c r="J53" s="367">
        <f>'PL 05'!T23</f>
        <v>0</v>
      </c>
      <c r="K53" s="40"/>
      <c r="L53" s="40">
        <f>'PL 05'!T14</f>
        <v>101</v>
      </c>
      <c r="M53" s="40">
        <f>'PL 05'!U14</f>
        <v>10</v>
      </c>
      <c r="N53" s="41">
        <f t="shared" si="18"/>
        <v>91</v>
      </c>
      <c r="O53" s="41">
        <f aca="true" t="shared" si="26" ref="O53:O59">I53+N53</f>
        <v>4488</v>
      </c>
      <c r="P53" s="347"/>
      <c r="Q53" s="347"/>
      <c r="R53" s="347"/>
      <c r="S53" s="346">
        <f t="shared" si="19"/>
        <v>4488</v>
      </c>
      <c r="T53" s="20"/>
    </row>
    <row r="54" spans="1:20" s="667" customFormat="1" ht="19.5" customHeight="1">
      <c r="A54" s="141"/>
      <c r="B54" s="137" t="s">
        <v>2</v>
      </c>
      <c r="C54" s="40">
        <v>4</v>
      </c>
      <c r="D54" s="40">
        <v>4</v>
      </c>
      <c r="E54" s="40"/>
      <c r="F54" s="40"/>
      <c r="G54" s="40">
        <f t="shared" si="24"/>
        <v>0</v>
      </c>
      <c r="H54" s="41"/>
      <c r="I54" s="41">
        <f t="shared" si="25"/>
        <v>0</v>
      </c>
      <c r="J54" s="367"/>
      <c r="K54" s="40"/>
      <c r="L54" s="40"/>
      <c r="M54" s="40"/>
      <c r="N54" s="41">
        <f t="shared" si="18"/>
        <v>0</v>
      </c>
      <c r="O54" s="41">
        <f t="shared" si="26"/>
        <v>0</v>
      </c>
      <c r="P54" s="347"/>
      <c r="Q54" s="347"/>
      <c r="R54" s="347"/>
      <c r="S54" s="346">
        <f t="shared" si="19"/>
        <v>0</v>
      </c>
      <c r="T54" s="20"/>
    </row>
    <row r="55" spans="1:20" ht="18" customHeight="1">
      <c r="A55" s="141"/>
      <c r="B55" s="668" t="s">
        <v>771</v>
      </c>
      <c r="C55" s="669"/>
      <c r="D55" s="669"/>
      <c r="E55" s="669"/>
      <c r="F55" s="669">
        <v>80</v>
      </c>
      <c r="G55" s="669">
        <f t="shared" si="24"/>
        <v>80</v>
      </c>
      <c r="H55" s="670">
        <f>E55*10%</f>
        <v>0</v>
      </c>
      <c r="I55" s="670">
        <f t="shared" si="25"/>
        <v>80</v>
      </c>
      <c r="J55" s="671"/>
      <c r="K55" s="669"/>
      <c r="L55" s="669"/>
      <c r="M55" s="669"/>
      <c r="N55" s="670">
        <f t="shared" si="18"/>
        <v>0</v>
      </c>
      <c r="O55" s="670">
        <f t="shared" si="26"/>
        <v>80</v>
      </c>
      <c r="P55" s="347"/>
      <c r="Q55" s="347"/>
      <c r="R55" s="347"/>
      <c r="S55" s="876">
        <f t="shared" si="19"/>
        <v>80</v>
      </c>
      <c r="T55" s="672"/>
    </row>
    <row r="56" spans="1:20" ht="18" customHeight="1">
      <c r="A56" s="141"/>
      <c r="B56" s="668" t="s">
        <v>511</v>
      </c>
      <c r="C56" s="669"/>
      <c r="D56" s="669"/>
      <c r="E56" s="669"/>
      <c r="F56" s="669"/>
      <c r="G56" s="669">
        <f t="shared" si="24"/>
        <v>0</v>
      </c>
      <c r="H56" s="670">
        <f>E56*10%</f>
        <v>0</v>
      </c>
      <c r="I56" s="670">
        <f t="shared" si="25"/>
        <v>0</v>
      </c>
      <c r="J56" s="671"/>
      <c r="K56" s="669">
        <v>300</v>
      </c>
      <c r="L56" s="669"/>
      <c r="M56" s="669"/>
      <c r="N56" s="670">
        <f t="shared" si="18"/>
        <v>300</v>
      </c>
      <c r="O56" s="670">
        <f t="shared" si="26"/>
        <v>300</v>
      </c>
      <c r="P56" s="359"/>
      <c r="Q56" s="359"/>
      <c r="R56" s="359"/>
      <c r="S56" s="876">
        <f t="shared" si="19"/>
        <v>300</v>
      </c>
      <c r="T56" s="672"/>
    </row>
    <row r="57" spans="1:20" ht="18" customHeight="1">
      <c r="A57" s="141"/>
      <c r="B57" s="668" t="s">
        <v>509</v>
      </c>
      <c r="C57" s="669"/>
      <c r="D57" s="669"/>
      <c r="E57" s="669"/>
      <c r="F57" s="669"/>
      <c r="G57" s="669">
        <f t="shared" si="24"/>
        <v>0</v>
      </c>
      <c r="H57" s="670">
        <f>E57*10%</f>
        <v>0</v>
      </c>
      <c r="I57" s="670">
        <f t="shared" si="25"/>
        <v>0</v>
      </c>
      <c r="J57" s="671"/>
      <c r="K57" s="669">
        <v>22</v>
      </c>
      <c r="L57" s="669"/>
      <c r="M57" s="669"/>
      <c r="N57" s="670">
        <f t="shared" si="18"/>
        <v>22</v>
      </c>
      <c r="O57" s="670">
        <f t="shared" si="26"/>
        <v>22</v>
      </c>
      <c r="P57" s="347"/>
      <c r="Q57" s="347"/>
      <c r="R57" s="347"/>
      <c r="S57" s="876">
        <f t="shared" si="19"/>
        <v>22</v>
      </c>
      <c r="T57" s="672"/>
    </row>
    <row r="58" spans="1:20" ht="18" customHeight="1">
      <c r="A58" s="141"/>
      <c r="B58" s="668" t="s">
        <v>510</v>
      </c>
      <c r="C58" s="669"/>
      <c r="D58" s="669"/>
      <c r="E58" s="669"/>
      <c r="F58" s="669"/>
      <c r="G58" s="669">
        <f t="shared" si="24"/>
        <v>0</v>
      </c>
      <c r="H58" s="670">
        <f>E58*10%</f>
        <v>0</v>
      </c>
      <c r="I58" s="670">
        <f t="shared" si="25"/>
        <v>0</v>
      </c>
      <c r="J58" s="671"/>
      <c r="K58" s="669">
        <v>260</v>
      </c>
      <c r="L58" s="669"/>
      <c r="M58" s="669"/>
      <c r="N58" s="670">
        <f t="shared" si="18"/>
        <v>260</v>
      </c>
      <c r="O58" s="670">
        <f t="shared" si="26"/>
        <v>260</v>
      </c>
      <c r="P58" s="333"/>
      <c r="Q58" s="333"/>
      <c r="R58" s="333"/>
      <c r="S58" s="876">
        <f t="shared" si="19"/>
        <v>260</v>
      </c>
      <c r="T58" s="672"/>
    </row>
    <row r="59" spans="1:20" ht="18" customHeight="1">
      <c r="A59" s="141"/>
      <c r="B59" s="673" t="s">
        <v>515</v>
      </c>
      <c r="C59" s="669"/>
      <c r="D59" s="669"/>
      <c r="E59" s="669"/>
      <c r="F59" s="669"/>
      <c r="G59" s="669"/>
      <c r="H59" s="670">
        <f>E59*10%</f>
        <v>0</v>
      </c>
      <c r="I59" s="670"/>
      <c r="J59" s="671"/>
      <c r="K59" s="669">
        <f>'DAC THU'!D32-QLNN!K56-QLNN!K57-QLNN!K58</f>
        <v>2918</v>
      </c>
      <c r="L59" s="669"/>
      <c r="M59" s="669"/>
      <c r="N59" s="670">
        <f t="shared" si="18"/>
        <v>2918</v>
      </c>
      <c r="O59" s="670">
        <f t="shared" si="26"/>
        <v>2918</v>
      </c>
      <c r="P59" s="347"/>
      <c r="Q59" s="347"/>
      <c r="R59" s="347"/>
      <c r="S59" s="876">
        <f t="shared" si="19"/>
        <v>2918</v>
      </c>
      <c r="T59" s="672"/>
    </row>
    <row r="60" spans="1:20" ht="18" customHeight="1">
      <c r="A60" s="141">
        <v>10</v>
      </c>
      <c r="B60" s="663" t="s">
        <v>444</v>
      </c>
      <c r="C60" s="40">
        <f>C61+C62</f>
        <v>7</v>
      </c>
      <c r="D60" s="40">
        <f aca="true" t="shared" si="27" ref="D60:O60">D61+D62</f>
        <v>6</v>
      </c>
      <c r="E60" s="40">
        <f t="shared" si="27"/>
        <v>390</v>
      </c>
      <c r="F60" s="40">
        <f t="shared" si="27"/>
        <v>534</v>
      </c>
      <c r="G60" s="40">
        <f t="shared" si="27"/>
        <v>924</v>
      </c>
      <c r="H60" s="40">
        <f t="shared" si="27"/>
        <v>39</v>
      </c>
      <c r="I60" s="40">
        <f t="shared" si="27"/>
        <v>885</v>
      </c>
      <c r="J60" s="664">
        <f t="shared" si="27"/>
        <v>0</v>
      </c>
      <c r="K60" s="40">
        <f t="shared" si="27"/>
        <v>100</v>
      </c>
      <c r="L60" s="40">
        <f t="shared" si="27"/>
        <v>0</v>
      </c>
      <c r="M60" s="40">
        <f t="shared" si="27"/>
        <v>0</v>
      </c>
      <c r="N60" s="40">
        <f t="shared" si="27"/>
        <v>100</v>
      </c>
      <c r="O60" s="40">
        <f t="shared" si="27"/>
        <v>985</v>
      </c>
      <c r="P60" s="347"/>
      <c r="Q60" s="347"/>
      <c r="R60" s="347"/>
      <c r="S60" s="346">
        <f t="shared" si="19"/>
        <v>985</v>
      </c>
      <c r="T60" s="20" t="s">
        <v>763</v>
      </c>
    </row>
    <row r="61" spans="1:20" ht="18" customHeight="1">
      <c r="A61" s="141"/>
      <c r="B61" s="881" t="s">
        <v>513</v>
      </c>
      <c r="C61" s="669">
        <v>6</v>
      </c>
      <c r="D61" s="669">
        <v>5</v>
      </c>
      <c r="E61" s="669">
        <f>C61*65</f>
        <v>390</v>
      </c>
      <c r="F61" s="669">
        <v>534</v>
      </c>
      <c r="G61" s="669">
        <f>E61+F61</f>
        <v>924</v>
      </c>
      <c r="H61" s="670">
        <f>E61*10%</f>
        <v>39</v>
      </c>
      <c r="I61" s="670">
        <f>G61-H61</f>
        <v>885</v>
      </c>
      <c r="J61" s="671">
        <v>0</v>
      </c>
      <c r="K61" s="669">
        <f>'DAC THU'!D45</f>
        <v>100</v>
      </c>
      <c r="L61" s="669"/>
      <c r="M61" s="669"/>
      <c r="N61" s="670">
        <f t="shared" si="18"/>
        <v>100</v>
      </c>
      <c r="O61" s="670">
        <f>I61+N61</f>
        <v>985</v>
      </c>
      <c r="P61" s="880"/>
      <c r="Q61" s="880"/>
      <c r="R61" s="880"/>
      <c r="S61" s="876">
        <f t="shared" si="19"/>
        <v>985</v>
      </c>
      <c r="T61" s="672"/>
    </row>
    <row r="62" spans="1:20" ht="18" customHeight="1">
      <c r="A62" s="141"/>
      <c r="B62" s="881" t="s">
        <v>2</v>
      </c>
      <c r="C62" s="669">
        <v>1</v>
      </c>
      <c r="D62" s="669">
        <v>1</v>
      </c>
      <c r="E62" s="669"/>
      <c r="F62" s="669"/>
      <c r="G62" s="669">
        <f>E62+F62</f>
        <v>0</v>
      </c>
      <c r="H62" s="670"/>
      <c r="I62" s="670">
        <f>G62-H62</f>
        <v>0</v>
      </c>
      <c r="J62" s="671"/>
      <c r="K62" s="669"/>
      <c r="L62" s="669"/>
      <c r="M62" s="669"/>
      <c r="N62" s="670">
        <f t="shared" si="18"/>
        <v>0</v>
      </c>
      <c r="O62" s="670">
        <f>I62+N62</f>
        <v>0</v>
      </c>
      <c r="P62" s="880"/>
      <c r="Q62" s="880"/>
      <c r="R62" s="880"/>
      <c r="S62" s="876">
        <f t="shared" si="19"/>
        <v>0</v>
      </c>
      <c r="T62" s="672"/>
    </row>
    <row r="63" spans="1:20" ht="18" customHeight="1">
      <c r="A63" s="141">
        <v>11</v>
      </c>
      <c r="B63" s="663" t="s">
        <v>426</v>
      </c>
      <c r="C63" s="40">
        <f>C64+C65</f>
        <v>7</v>
      </c>
      <c r="D63" s="40">
        <f>D64+D65</f>
        <v>6</v>
      </c>
      <c r="E63" s="40">
        <f>E64+E65</f>
        <v>390</v>
      </c>
      <c r="F63" s="40">
        <f>F64+F65</f>
        <v>477</v>
      </c>
      <c r="G63" s="40">
        <f aca="true" t="shared" si="28" ref="G63:O63">G64+G65</f>
        <v>867</v>
      </c>
      <c r="H63" s="40">
        <f t="shared" si="28"/>
        <v>39</v>
      </c>
      <c r="I63" s="40">
        <f t="shared" si="28"/>
        <v>828</v>
      </c>
      <c r="J63" s="664">
        <f t="shared" si="28"/>
        <v>0</v>
      </c>
      <c r="K63" s="40">
        <f t="shared" si="28"/>
        <v>0</v>
      </c>
      <c r="L63" s="40">
        <f t="shared" si="28"/>
        <v>0</v>
      </c>
      <c r="M63" s="40">
        <f t="shared" si="28"/>
        <v>0</v>
      </c>
      <c r="N63" s="41">
        <f t="shared" si="18"/>
        <v>0</v>
      </c>
      <c r="O63" s="40">
        <f t="shared" si="28"/>
        <v>828</v>
      </c>
      <c r="P63" s="347"/>
      <c r="Q63" s="347"/>
      <c r="R63" s="347"/>
      <c r="S63" s="346">
        <f t="shared" si="19"/>
        <v>828</v>
      </c>
      <c r="T63" s="20" t="s">
        <v>763</v>
      </c>
    </row>
    <row r="64" spans="1:20" ht="18" customHeight="1">
      <c r="A64" s="141"/>
      <c r="B64" s="881" t="s">
        <v>513</v>
      </c>
      <c r="C64" s="669">
        <v>6</v>
      </c>
      <c r="D64" s="669">
        <v>5</v>
      </c>
      <c r="E64" s="669">
        <f>C64*65</f>
        <v>390</v>
      </c>
      <c r="F64" s="669">
        <v>477</v>
      </c>
      <c r="G64" s="669">
        <f>E64+F64</f>
        <v>867</v>
      </c>
      <c r="H64" s="670">
        <f>E64*10%</f>
        <v>39</v>
      </c>
      <c r="I64" s="670">
        <f>G64-H64</f>
        <v>828</v>
      </c>
      <c r="J64" s="671"/>
      <c r="K64" s="669"/>
      <c r="L64" s="669"/>
      <c r="M64" s="669"/>
      <c r="N64" s="670">
        <f t="shared" si="18"/>
        <v>0</v>
      </c>
      <c r="O64" s="670">
        <f>I64+N64</f>
        <v>828</v>
      </c>
      <c r="P64" s="880"/>
      <c r="Q64" s="880"/>
      <c r="R64" s="880"/>
      <c r="S64" s="876">
        <f t="shared" si="19"/>
        <v>828</v>
      </c>
      <c r="T64" s="672"/>
    </row>
    <row r="65" spans="1:20" ht="18" customHeight="1">
      <c r="A65" s="141"/>
      <c r="B65" s="881" t="s">
        <v>2</v>
      </c>
      <c r="C65" s="669">
        <v>1</v>
      </c>
      <c r="D65" s="669">
        <v>1</v>
      </c>
      <c r="E65" s="669"/>
      <c r="F65" s="669"/>
      <c r="G65" s="669">
        <f>E65+F65</f>
        <v>0</v>
      </c>
      <c r="H65" s="670"/>
      <c r="I65" s="670">
        <f>G65-H65</f>
        <v>0</v>
      </c>
      <c r="J65" s="671"/>
      <c r="K65" s="669"/>
      <c r="L65" s="669"/>
      <c r="M65" s="669"/>
      <c r="N65" s="670">
        <f t="shared" si="18"/>
        <v>0</v>
      </c>
      <c r="O65" s="670">
        <f>I65+N65</f>
        <v>0</v>
      </c>
      <c r="P65" s="880"/>
      <c r="Q65" s="880"/>
      <c r="R65" s="880"/>
      <c r="S65" s="876">
        <f t="shared" si="19"/>
        <v>0</v>
      </c>
      <c r="T65" s="672"/>
    </row>
    <row r="66" spans="1:20" ht="18" customHeight="1">
      <c r="A66" s="141">
        <v>12</v>
      </c>
      <c r="B66" s="663" t="s">
        <v>423</v>
      </c>
      <c r="C66" s="40">
        <f>SUM(C67:C68)</f>
        <v>12</v>
      </c>
      <c r="D66" s="40">
        <f>SUM(D67:D68)</f>
        <v>11</v>
      </c>
      <c r="E66" s="40">
        <f aca="true" t="shared" si="29" ref="E66:O66">SUM(E67:E68)</f>
        <v>780</v>
      </c>
      <c r="F66" s="40">
        <f t="shared" si="29"/>
        <v>1104</v>
      </c>
      <c r="G66" s="40">
        <f t="shared" si="29"/>
        <v>1884</v>
      </c>
      <c r="H66" s="40">
        <f t="shared" si="29"/>
        <v>78</v>
      </c>
      <c r="I66" s="40">
        <f t="shared" si="29"/>
        <v>1806</v>
      </c>
      <c r="J66" s="664">
        <f t="shared" si="29"/>
        <v>0</v>
      </c>
      <c r="K66" s="40">
        <f t="shared" si="29"/>
        <v>0</v>
      </c>
      <c r="L66" s="40">
        <f t="shared" si="29"/>
        <v>0</v>
      </c>
      <c r="M66" s="40">
        <f t="shared" si="29"/>
        <v>0</v>
      </c>
      <c r="N66" s="41">
        <f t="shared" si="18"/>
        <v>0</v>
      </c>
      <c r="O66" s="40">
        <f t="shared" si="29"/>
        <v>1806</v>
      </c>
      <c r="P66" s="347"/>
      <c r="Q66" s="347"/>
      <c r="R66" s="347"/>
      <c r="S66" s="346">
        <f t="shared" si="19"/>
        <v>1806</v>
      </c>
      <c r="T66" s="20" t="s">
        <v>763</v>
      </c>
    </row>
    <row r="67" spans="1:20" ht="18" customHeight="1">
      <c r="A67" s="141"/>
      <c r="B67" s="668" t="s">
        <v>423</v>
      </c>
      <c r="C67" s="669">
        <v>10</v>
      </c>
      <c r="D67" s="669">
        <v>10</v>
      </c>
      <c r="E67" s="669">
        <f>C67*65</f>
        <v>650</v>
      </c>
      <c r="F67" s="669">
        <v>1007</v>
      </c>
      <c r="G67" s="669">
        <f>E67+F67</f>
        <v>1657</v>
      </c>
      <c r="H67" s="670">
        <f>E67*10%</f>
        <v>65</v>
      </c>
      <c r="I67" s="670">
        <f>G67-H67</f>
        <v>1592</v>
      </c>
      <c r="J67" s="671">
        <v>0</v>
      </c>
      <c r="K67" s="669"/>
      <c r="L67" s="669"/>
      <c r="M67" s="669">
        <v>0</v>
      </c>
      <c r="N67" s="670">
        <f t="shared" si="18"/>
        <v>0</v>
      </c>
      <c r="O67" s="670">
        <f>I67+N67</f>
        <v>1592</v>
      </c>
      <c r="P67" s="880"/>
      <c r="Q67" s="880"/>
      <c r="R67" s="880"/>
      <c r="S67" s="876">
        <f t="shared" si="19"/>
        <v>1592</v>
      </c>
      <c r="T67" s="20"/>
    </row>
    <row r="68" spans="1:20" ht="18" customHeight="1">
      <c r="A68" s="141"/>
      <c r="B68" s="668" t="s">
        <v>443</v>
      </c>
      <c r="C68" s="669">
        <v>2</v>
      </c>
      <c r="D68" s="669">
        <v>1</v>
      </c>
      <c r="E68" s="669">
        <f>C68*65</f>
        <v>130</v>
      </c>
      <c r="F68" s="669">
        <v>97</v>
      </c>
      <c r="G68" s="669">
        <f>E68+F68</f>
        <v>227</v>
      </c>
      <c r="H68" s="670">
        <f>E68*10%</f>
        <v>13</v>
      </c>
      <c r="I68" s="670">
        <f>G68-H68</f>
        <v>214</v>
      </c>
      <c r="J68" s="671"/>
      <c r="K68" s="669"/>
      <c r="L68" s="669"/>
      <c r="M68" s="669"/>
      <c r="N68" s="670">
        <f t="shared" si="18"/>
        <v>0</v>
      </c>
      <c r="O68" s="670">
        <f>I68+N68</f>
        <v>214</v>
      </c>
      <c r="P68" s="880"/>
      <c r="Q68" s="880"/>
      <c r="R68" s="880"/>
      <c r="S68" s="876">
        <f t="shared" si="19"/>
        <v>214</v>
      </c>
      <c r="T68" s="674"/>
    </row>
    <row r="69" spans="1:20" ht="18" customHeight="1">
      <c r="A69" s="141">
        <v>13</v>
      </c>
      <c r="B69" s="663" t="s">
        <v>424</v>
      </c>
      <c r="C69" s="40">
        <v>12</v>
      </c>
      <c r="D69" s="40">
        <v>11</v>
      </c>
      <c r="E69" s="40">
        <f>C69*65</f>
        <v>780</v>
      </c>
      <c r="F69" s="40">
        <v>1123</v>
      </c>
      <c r="G69" s="40">
        <f>E69+F69</f>
        <v>1903</v>
      </c>
      <c r="H69" s="41">
        <f>E69*10%</f>
        <v>78</v>
      </c>
      <c r="I69" s="41">
        <f>G69-H69</f>
        <v>1825</v>
      </c>
      <c r="J69" s="367">
        <f>'PL 05'!T22</f>
        <v>0</v>
      </c>
      <c r="K69" s="40">
        <f>'DAC THU'!D37</f>
        <v>2060</v>
      </c>
      <c r="L69" s="40">
        <f>'PL 05'!T15</f>
        <v>102</v>
      </c>
      <c r="M69" s="40">
        <f>'PL 05'!U15</f>
        <v>10</v>
      </c>
      <c r="N69" s="41">
        <f t="shared" si="18"/>
        <v>2152</v>
      </c>
      <c r="O69" s="41">
        <f>I69+N69</f>
        <v>3977</v>
      </c>
      <c r="P69" s="347"/>
      <c r="Q69" s="347"/>
      <c r="R69" s="347"/>
      <c r="S69" s="346">
        <f t="shared" si="19"/>
        <v>3977</v>
      </c>
      <c r="T69" s="20" t="s">
        <v>763</v>
      </c>
    </row>
    <row r="70" spans="1:20" s="879" customFormat="1" ht="51" customHeight="1">
      <c r="A70" s="877" t="s">
        <v>405</v>
      </c>
      <c r="B70" s="445" t="s">
        <v>847</v>
      </c>
      <c r="C70" s="878"/>
      <c r="D70" s="878"/>
      <c r="E70" s="878"/>
      <c r="F70" s="878"/>
      <c r="G70" s="371">
        <v>4179</v>
      </c>
      <c r="H70" s="371">
        <f>G70*10%</f>
        <v>417.90000000000003</v>
      </c>
      <c r="I70" s="371">
        <f>G70-H70</f>
        <v>3761.1</v>
      </c>
      <c r="J70" s="371"/>
      <c r="K70" s="371"/>
      <c r="L70" s="371"/>
      <c r="M70" s="371"/>
      <c r="N70" s="371"/>
      <c r="O70" s="371">
        <f>I70</f>
        <v>3761.1</v>
      </c>
      <c r="P70" s="371">
        <f>J70</f>
        <v>0</v>
      </c>
      <c r="Q70" s="371">
        <f>K70</f>
        <v>0</v>
      </c>
      <c r="R70" s="371">
        <f>L70</f>
        <v>0</v>
      </c>
      <c r="S70" s="371">
        <f>O70-Q70</f>
        <v>3761.1</v>
      </c>
      <c r="T70" s="351"/>
    </row>
  </sheetData>
  <sheetProtection/>
  <mergeCells count="32">
    <mergeCell ref="O9:O12"/>
    <mergeCell ref="E10:E12"/>
    <mergeCell ref="L10:L12"/>
    <mergeCell ref="J10:J12"/>
    <mergeCell ref="M10:M12"/>
    <mergeCell ref="N10:N12"/>
    <mergeCell ref="C1:N1"/>
    <mergeCell ref="C2:N2"/>
    <mergeCell ref="C3:F3"/>
    <mergeCell ref="I10:I12"/>
    <mergeCell ref="K10:K12"/>
    <mergeCell ref="H10:H12"/>
    <mergeCell ref="A4:T4"/>
    <mergeCell ref="A5:T5"/>
    <mergeCell ref="A6:T6"/>
    <mergeCell ref="A7:T7"/>
    <mergeCell ref="Q8:R8"/>
    <mergeCell ref="A26:A27"/>
    <mergeCell ref="F10:F12"/>
    <mergeCell ref="D9:D12"/>
    <mergeCell ref="A9:A12"/>
    <mergeCell ref="E9:I9"/>
    <mergeCell ref="J9:N9"/>
    <mergeCell ref="C9:C12"/>
    <mergeCell ref="G10:G12"/>
    <mergeCell ref="B9:B12"/>
    <mergeCell ref="T9:T12"/>
    <mergeCell ref="P10:P12"/>
    <mergeCell ref="Q10:Q12"/>
    <mergeCell ref="R10:R12"/>
    <mergeCell ref="S9:S12"/>
    <mergeCell ref="P9:R9"/>
  </mergeCells>
  <printOptions/>
  <pageMargins left="0.3937007874015748" right="0.31496062992125984" top="0.4724409448818898" bottom="0.4724409448818898" header="0.35433070866141736" footer="0.1968503937007874"/>
  <pageSetup horizontalDpi="600" verticalDpi="600" orientation="landscape" paperSize="9" scale="80" r:id="rId4"/>
  <headerFooter alignWithMargins="0">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15"/>
  </sheetPr>
  <dimension ref="A1:AK75"/>
  <sheetViews>
    <sheetView zoomScale="130" zoomScaleNormal="130" zoomScalePageLayoutView="0" workbookViewId="0" topLeftCell="A1">
      <selection activeCell="A5" sqref="A5:AH5"/>
    </sheetView>
  </sheetViews>
  <sheetFormatPr defaultColWidth="8.8515625" defaultRowHeight="12.75"/>
  <cols>
    <col min="1" max="1" width="5.8515625" style="93" customWidth="1"/>
    <col min="2" max="2" width="31.28125" style="93" customWidth="1"/>
    <col min="3" max="3" width="6.7109375" style="93" customWidth="1"/>
    <col min="4" max="4" width="6.28125" style="93" customWidth="1"/>
    <col min="5" max="5" width="11.140625" style="93" hidden="1" customWidth="1"/>
    <col min="6" max="6" width="9.57421875" style="93" hidden="1" customWidth="1"/>
    <col min="7" max="7" width="8.140625" style="93" hidden="1" customWidth="1"/>
    <col min="8" max="10" width="9.00390625" style="93" hidden="1" customWidth="1"/>
    <col min="11" max="16" width="8.8515625" style="93" hidden="1" customWidth="1"/>
    <col min="17" max="17" width="7.421875" style="93" hidden="1" customWidth="1"/>
    <col min="18" max="18" width="9.00390625" style="93" hidden="1" customWidth="1"/>
    <col min="19" max="19" width="9.00390625" style="93" customWidth="1"/>
    <col min="20" max="21" width="9.140625" style="93" customWidth="1"/>
    <col min="22" max="22" width="8.421875" style="93" customWidth="1"/>
    <col min="23" max="23" width="9.140625" style="93" customWidth="1"/>
    <col min="24" max="24" width="11.140625" style="93" customWidth="1"/>
    <col min="25" max="25" width="9.421875" style="93" customWidth="1"/>
    <col min="26" max="26" width="9.00390625" style="93" customWidth="1"/>
    <col min="27" max="27" width="7.8515625" style="93" customWidth="1"/>
    <col min="28" max="28" width="8.28125" style="93" customWidth="1"/>
    <col min="29" max="29" width="10.7109375" style="93" customWidth="1"/>
    <col min="30" max="30" width="9.8515625" style="93" customWidth="1"/>
    <col min="31" max="31" width="6.7109375" style="93" customWidth="1"/>
    <col min="32" max="33" width="7.28125" style="93" customWidth="1"/>
    <col min="34" max="34" width="8.8515625" style="93" customWidth="1"/>
    <col min="35" max="35" width="10.7109375" style="93" customWidth="1"/>
    <col min="36" max="16384" width="8.8515625" style="93" customWidth="1"/>
  </cols>
  <sheetData>
    <row r="1" spans="1:5" ht="16.5">
      <c r="A1" s="92" t="s">
        <v>65</v>
      </c>
      <c r="B1" s="92"/>
      <c r="C1" s="92"/>
      <c r="D1" s="92"/>
      <c r="E1" s="92"/>
    </row>
    <row r="2" spans="1:5" ht="15" customHeight="1">
      <c r="A2" s="92" t="s">
        <v>64</v>
      </c>
      <c r="B2" s="92"/>
      <c r="C2" s="92"/>
      <c r="D2" s="92"/>
      <c r="E2" s="92"/>
    </row>
    <row r="3" spans="1:34" ht="18.75">
      <c r="A3" s="943" t="s">
        <v>41</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row>
    <row r="4" spans="1:34" ht="21" customHeight="1">
      <c r="A4" s="947" t="s">
        <v>884</v>
      </c>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row>
    <row r="5" spans="1:34" ht="20.25" customHeight="1">
      <c r="A5" s="925" t="s">
        <v>888</v>
      </c>
      <c r="B5" s="925"/>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row>
    <row r="6" spans="29:34" ht="19.5" customHeight="1">
      <c r="AC6" s="94"/>
      <c r="AF6" s="936" t="s">
        <v>411</v>
      </c>
      <c r="AG6" s="936"/>
      <c r="AH6" s="936"/>
    </row>
    <row r="7" spans="1:34" ht="36" customHeight="1">
      <c r="A7" s="933" t="s">
        <v>293</v>
      </c>
      <c r="B7" s="933" t="s">
        <v>481</v>
      </c>
      <c r="C7" s="939" t="s">
        <v>413</v>
      </c>
      <c r="D7" s="939" t="s">
        <v>762</v>
      </c>
      <c r="E7" s="927" t="s">
        <v>524</v>
      </c>
      <c r="F7" s="928"/>
      <c r="G7" s="928"/>
      <c r="H7" s="928"/>
      <c r="I7" s="928"/>
      <c r="J7" s="928"/>
      <c r="K7" s="928"/>
      <c r="L7" s="928"/>
      <c r="M7" s="928"/>
      <c r="N7" s="928"/>
      <c r="O7" s="928"/>
      <c r="P7" s="928"/>
      <c r="Q7" s="928"/>
      <c r="R7" s="929"/>
      <c r="S7" s="933" t="s">
        <v>795</v>
      </c>
      <c r="T7" s="926" t="s">
        <v>561</v>
      </c>
      <c r="U7" s="926" t="s">
        <v>250</v>
      </c>
      <c r="V7" s="930" t="s">
        <v>288</v>
      </c>
      <c r="W7" s="930" t="s">
        <v>497</v>
      </c>
      <c r="X7" s="911" t="s">
        <v>767</v>
      </c>
      <c r="Y7" s="926" t="s">
        <v>649</v>
      </c>
      <c r="Z7" s="927" t="s">
        <v>597</v>
      </c>
      <c r="AA7" s="928"/>
      <c r="AB7" s="929"/>
      <c r="AC7" s="939" t="s">
        <v>601</v>
      </c>
      <c r="AD7" s="939" t="s">
        <v>602</v>
      </c>
      <c r="AE7" s="927" t="s">
        <v>37</v>
      </c>
      <c r="AF7" s="928"/>
      <c r="AG7" s="929"/>
      <c r="AH7" s="944" t="s">
        <v>865</v>
      </c>
    </row>
    <row r="8" spans="1:34" ht="18" customHeight="1">
      <c r="A8" s="934"/>
      <c r="B8" s="934"/>
      <c r="C8" s="940"/>
      <c r="D8" s="940"/>
      <c r="E8" s="933" t="s">
        <v>327</v>
      </c>
      <c r="F8" s="933" t="s">
        <v>525</v>
      </c>
      <c r="G8" s="933" t="s">
        <v>526</v>
      </c>
      <c r="H8" s="937"/>
      <c r="I8" s="937"/>
      <c r="J8" s="937"/>
      <c r="K8" s="937"/>
      <c r="L8" s="937"/>
      <c r="M8" s="937"/>
      <c r="N8" s="937"/>
      <c r="O8" s="937"/>
      <c r="P8" s="937"/>
      <c r="Q8" s="938"/>
      <c r="R8" s="933" t="s">
        <v>527</v>
      </c>
      <c r="S8" s="934"/>
      <c r="T8" s="926"/>
      <c r="U8" s="926"/>
      <c r="V8" s="931"/>
      <c r="W8" s="931"/>
      <c r="X8" s="911"/>
      <c r="Y8" s="926"/>
      <c r="Z8" s="911" t="s">
        <v>598</v>
      </c>
      <c r="AA8" s="942" t="s">
        <v>324</v>
      </c>
      <c r="AB8" s="942"/>
      <c r="AC8" s="940"/>
      <c r="AD8" s="940"/>
      <c r="AE8" s="911" t="s">
        <v>647</v>
      </c>
      <c r="AF8" s="942" t="s">
        <v>324</v>
      </c>
      <c r="AG8" s="942"/>
      <c r="AH8" s="945"/>
    </row>
    <row r="9" spans="1:34" ht="11.25" customHeight="1">
      <c r="A9" s="934"/>
      <c r="B9" s="934"/>
      <c r="C9" s="940"/>
      <c r="D9" s="940"/>
      <c r="E9" s="934"/>
      <c r="F9" s="934"/>
      <c r="G9" s="934"/>
      <c r="H9" s="95"/>
      <c r="I9" s="95"/>
      <c r="J9" s="95"/>
      <c r="K9" s="95"/>
      <c r="L9" s="95"/>
      <c r="M9" s="95"/>
      <c r="N9" s="95"/>
      <c r="O9" s="95"/>
      <c r="P9" s="95"/>
      <c r="Q9" s="96"/>
      <c r="R9" s="934"/>
      <c r="S9" s="934"/>
      <c r="T9" s="926"/>
      <c r="U9" s="926"/>
      <c r="V9" s="931"/>
      <c r="W9" s="931"/>
      <c r="X9" s="911"/>
      <c r="Y9" s="926"/>
      <c r="Z9" s="911"/>
      <c r="AA9" s="911" t="s">
        <v>604</v>
      </c>
      <c r="AB9" s="911" t="s">
        <v>861</v>
      </c>
      <c r="AC9" s="940"/>
      <c r="AD9" s="940"/>
      <c r="AE9" s="911"/>
      <c r="AF9" s="911" t="s">
        <v>860</v>
      </c>
      <c r="AG9" s="911" t="s">
        <v>867</v>
      </c>
      <c r="AH9" s="945"/>
    </row>
    <row r="10" spans="1:34" ht="11.25" customHeight="1">
      <c r="A10" s="934"/>
      <c r="B10" s="934"/>
      <c r="C10" s="940"/>
      <c r="D10" s="940"/>
      <c r="E10" s="934"/>
      <c r="F10" s="934"/>
      <c r="G10" s="934"/>
      <c r="H10" s="95"/>
      <c r="I10" s="95"/>
      <c r="J10" s="95"/>
      <c r="K10" s="95"/>
      <c r="L10" s="95"/>
      <c r="M10" s="95"/>
      <c r="N10" s="95"/>
      <c r="O10" s="95"/>
      <c r="P10" s="95"/>
      <c r="Q10" s="96"/>
      <c r="R10" s="934"/>
      <c r="S10" s="934"/>
      <c r="T10" s="926"/>
      <c r="U10" s="926"/>
      <c r="V10" s="931"/>
      <c r="W10" s="931"/>
      <c r="X10" s="911"/>
      <c r="Y10" s="926"/>
      <c r="Z10" s="911"/>
      <c r="AA10" s="911"/>
      <c r="AB10" s="911"/>
      <c r="AC10" s="940"/>
      <c r="AD10" s="940"/>
      <c r="AE10" s="911"/>
      <c r="AF10" s="911"/>
      <c r="AG10" s="911"/>
      <c r="AH10" s="945"/>
    </row>
    <row r="11" spans="1:34" ht="146.25" customHeight="1">
      <c r="A11" s="935"/>
      <c r="B11" s="935"/>
      <c r="C11" s="941"/>
      <c r="D11" s="941"/>
      <c r="E11" s="935"/>
      <c r="F11" s="935"/>
      <c r="G11" s="935"/>
      <c r="H11" s="97" t="s">
        <v>528</v>
      </c>
      <c r="I11" s="97" t="s">
        <v>529</v>
      </c>
      <c r="J11" s="97" t="s">
        <v>530</v>
      </c>
      <c r="K11" s="97" t="s">
        <v>531</v>
      </c>
      <c r="L11" s="97" t="s">
        <v>532</v>
      </c>
      <c r="M11" s="97" t="s">
        <v>533</v>
      </c>
      <c r="N11" s="97" t="s">
        <v>534</v>
      </c>
      <c r="O11" s="97" t="s">
        <v>535</v>
      </c>
      <c r="P11" s="97" t="s">
        <v>536</v>
      </c>
      <c r="Q11" s="97" t="s">
        <v>537</v>
      </c>
      <c r="R11" s="935"/>
      <c r="S11" s="935"/>
      <c r="T11" s="926"/>
      <c r="U11" s="926"/>
      <c r="V11" s="932"/>
      <c r="W11" s="932"/>
      <c r="X11" s="911"/>
      <c r="Y11" s="926"/>
      <c r="Z11" s="911"/>
      <c r="AA11" s="911"/>
      <c r="AB11" s="911"/>
      <c r="AC11" s="941"/>
      <c r="AD11" s="941"/>
      <c r="AE11" s="911"/>
      <c r="AF11" s="911"/>
      <c r="AG11" s="911"/>
      <c r="AH11" s="946"/>
    </row>
    <row r="12" spans="1:34" ht="30" customHeight="1">
      <c r="A12" s="329">
        <v>1</v>
      </c>
      <c r="B12" s="329">
        <v>2</v>
      </c>
      <c r="C12" s="329">
        <v>3</v>
      </c>
      <c r="D12" s="329">
        <v>4</v>
      </c>
      <c r="E12" s="329" t="s">
        <v>538</v>
      </c>
      <c r="F12" s="329" t="s">
        <v>539</v>
      </c>
      <c r="G12" s="329" t="s">
        <v>540</v>
      </c>
      <c r="H12" s="329">
        <v>9</v>
      </c>
      <c r="I12" s="329">
        <v>10</v>
      </c>
      <c r="J12" s="329">
        <v>11</v>
      </c>
      <c r="K12" s="329">
        <v>12</v>
      </c>
      <c r="L12" s="329">
        <v>13</v>
      </c>
      <c r="M12" s="329">
        <v>14</v>
      </c>
      <c r="N12" s="329">
        <v>15</v>
      </c>
      <c r="O12" s="329">
        <v>16</v>
      </c>
      <c r="P12" s="329">
        <v>17</v>
      </c>
      <c r="Q12" s="329">
        <v>18</v>
      </c>
      <c r="R12" s="329">
        <v>19</v>
      </c>
      <c r="S12" s="329">
        <v>5</v>
      </c>
      <c r="T12" s="329">
        <v>6</v>
      </c>
      <c r="U12" s="329">
        <v>7</v>
      </c>
      <c r="V12" s="329">
        <v>8</v>
      </c>
      <c r="W12" s="329">
        <v>9</v>
      </c>
      <c r="X12" s="329" t="s">
        <v>586</v>
      </c>
      <c r="Y12" s="329" t="s">
        <v>648</v>
      </c>
      <c r="Z12" s="329" t="s">
        <v>571</v>
      </c>
      <c r="AA12" s="329">
        <v>13</v>
      </c>
      <c r="AB12" s="329">
        <v>14</v>
      </c>
      <c r="AC12" s="329" t="s">
        <v>868</v>
      </c>
      <c r="AD12" s="329" t="s">
        <v>796</v>
      </c>
      <c r="AE12" s="329">
        <v>17</v>
      </c>
      <c r="AF12" s="329">
        <v>18</v>
      </c>
      <c r="AG12" s="329">
        <v>19</v>
      </c>
      <c r="AH12" s="329" t="s">
        <v>862</v>
      </c>
    </row>
    <row r="13" spans="1:37" ht="25.5" customHeight="1">
      <c r="A13" s="329"/>
      <c r="B13" s="97" t="s">
        <v>563</v>
      </c>
      <c r="C13" s="330">
        <f aca="true" t="shared" si="0" ref="C13:AB13">C14+C35+C58+C62+C65+C66+C68+C71</f>
        <v>67</v>
      </c>
      <c r="D13" s="330">
        <f t="shared" si="0"/>
        <v>61</v>
      </c>
      <c r="E13" s="331">
        <f t="shared" si="0"/>
        <v>443.31535625000004</v>
      </c>
      <c r="F13" s="331">
        <f t="shared" si="0"/>
        <v>281.38200000000006</v>
      </c>
      <c r="G13" s="331">
        <f t="shared" si="0"/>
        <v>5.206</v>
      </c>
      <c r="H13" s="331">
        <f t="shared" si="0"/>
        <v>2.65</v>
      </c>
      <c r="I13" s="331">
        <f t="shared" si="0"/>
        <v>0.2</v>
      </c>
      <c r="J13" s="331">
        <f t="shared" si="0"/>
        <v>0.655</v>
      </c>
      <c r="K13" s="331">
        <f t="shared" si="0"/>
        <v>0</v>
      </c>
      <c r="L13" s="331">
        <f t="shared" si="0"/>
        <v>0</v>
      </c>
      <c r="M13" s="331">
        <f t="shared" si="0"/>
        <v>0</v>
      </c>
      <c r="N13" s="331">
        <f t="shared" si="0"/>
        <v>0</v>
      </c>
      <c r="O13" s="331">
        <f t="shared" si="0"/>
        <v>0</v>
      </c>
      <c r="P13" s="331">
        <f t="shared" si="0"/>
        <v>0</v>
      </c>
      <c r="Q13" s="331">
        <f t="shared" si="0"/>
        <v>3.9930000000000003</v>
      </c>
      <c r="R13" s="331">
        <f t="shared" si="0"/>
        <v>70.10126</v>
      </c>
      <c r="S13" s="330">
        <f t="shared" si="0"/>
        <v>3066</v>
      </c>
      <c r="T13" s="330">
        <f t="shared" si="0"/>
        <v>1890</v>
      </c>
      <c r="U13" s="330">
        <f t="shared" si="0"/>
        <v>150028</v>
      </c>
      <c r="V13" s="330">
        <f t="shared" si="0"/>
        <v>2075.2</v>
      </c>
      <c r="W13" s="330">
        <f t="shared" si="0"/>
        <v>1241</v>
      </c>
      <c r="X13" s="330">
        <f t="shared" si="0"/>
        <v>158430.2</v>
      </c>
      <c r="Y13" s="330">
        <f t="shared" si="0"/>
        <v>7378.900000000001</v>
      </c>
      <c r="Z13" s="330">
        <f t="shared" si="0"/>
        <v>300</v>
      </c>
      <c r="AA13" s="330">
        <f t="shared" si="0"/>
        <v>180</v>
      </c>
      <c r="AB13" s="330">
        <f t="shared" si="0"/>
        <v>120</v>
      </c>
      <c r="AC13" s="330">
        <f>X13-Y13-AA13</f>
        <v>150871.30000000002</v>
      </c>
      <c r="AD13" s="330">
        <f>AC13-Y13</f>
        <v>143492.40000000002</v>
      </c>
      <c r="AE13" s="330">
        <f>AE14+AE35+AE58+AE62+AE65+AE66+AE68+AE71</f>
        <v>582</v>
      </c>
      <c r="AF13" s="330">
        <f>AF14+AF35+AF58+AF62+AF65+AF66+AF68+AF71</f>
        <v>349</v>
      </c>
      <c r="AG13" s="330">
        <f>AG14+AG35+AG58+AG62+AG65+AG66+AG68+AG71</f>
        <v>233</v>
      </c>
      <c r="AH13" s="330">
        <f>AD13-AF13</f>
        <v>143143.40000000002</v>
      </c>
      <c r="AI13" s="98">
        <f>X13-Y13</f>
        <v>151051.30000000002</v>
      </c>
      <c r="AJ13" s="98"/>
      <c r="AK13" s="98"/>
    </row>
    <row r="14" spans="1:34" s="99" customFormat="1" ht="48.75" customHeight="1">
      <c r="A14" s="301" t="s">
        <v>295</v>
      </c>
      <c r="B14" s="332" t="s">
        <v>258</v>
      </c>
      <c r="C14" s="333">
        <f>C15+C29+C32</f>
        <v>49</v>
      </c>
      <c r="D14" s="333">
        <f aca="true" t="shared" si="1" ref="D14:AG14">D15+D29+D32</f>
        <v>43</v>
      </c>
      <c r="E14" s="333">
        <f t="shared" si="1"/>
        <v>239.65244890000002</v>
      </c>
      <c r="F14" s="333">
        <f t="shared" si="1"/>
        <v>106.48000000000002</v>
      </c>
      <c r="G14" s="333">
        <f t="shared" si="1"/>
        <v>5.206</v>
      </c>
      <c r="H14" s="333">
        <f t="shared" si="1"/>
        <v>1.5</v>
      </c>
      <c r="I14" s="333">
        <f t="shared" si="1"/>
        <v>0.2</v>
      </c>
      <c r="J14" s="333">
        <f t="shared" si="1"/>
        <v>0.40599999999999997</v>
      </c>
      <c r="K14" s="333">
        <f t="shared" si="1"/>
        <v>0</v>
      </c>
      <c r="L14" s="333">
        <f t="shared" si="1"/>
        <v>0</v>
      </c>
      <c r="M14" s="333">
        <f t="shared" si="1"/>
        <v>0</v>
      </c>
      <c r="N14" s="333">
        <f t="shared" si="1"/>
        <v>0</v>
      </c>
      <c r="O14" s="333">
        <f t="shared" si="1"/>
        <v>0</v>
      </c>
      <c r="P14" s="333">
        <f t="shared" si="1"/>
        <v>0</v>
      </c>
      <c r="Q14" s="333">
        <f t="shared" si="1"/>
        <v>3.1000000000000005</v>
      </c>
      <c r="R14" s="333">
        <f t="shared" si="1"/>
        <v>28.670525</v>
      </c>
      <c r="S14" s="333">
        <f t="shared" si="1"/>
        <v>2060</v>
      </c>
      <c r="T14" s="333">
        <f t="shared" si="1"/>
        <v>1440</v>
      </c>
      <c r="U14" s="333">
        <f t="shared" si="1"/>
        <v>200</v>
      </c>
      <c r="V14" s="333">
        <f t="shared" si="1"/>
        <v>0</v>
      </c>
      <c r="W14" s="333">
        <f t="shared" si="1"/>
        <v>1241</v>
      </c>
      <c r="X14" s="333">
        <f t="shared" si="1"/>
        <v>4941</v>
      </c>
      <c r="Y14" s="334">
        <f t="shared" si="1"/>
        <v>144</v>
      </c>
      <c r="Z14" s="333">
        <f t="shared" si="1"/>
        <v>300</v>
      </c>
      <c r="AA14" s="333">
        <f t="shared" si="1"/>
        <v>180</v>
      </c>
      <c r="AB14" s="333">
        <f t="shared" si="1"/>
        <v>120</v>
      </c>
      <c r="AC14" s="330">
        <f>X14-Y14-AA14</f>
        <v>4617</v>
      </c>
      <c r="AD14" s="330">
        <f aca="true" t="shared" si="2" ref="AD14:AD75">AC14-Y14</f>
        <v>4473</v>
      </c>
      <c r="AE14" s="333">
        <f t="shared" si="1"/>
        <v>582</v>
      </c>
      <c r="AF14" s="333">
        <f t="shared" si="1"/>
        <v>349</v>
      </c>
      <c r="AG14" s="333">
        <f t="shared" si="1"/>
        <v>233</v>
      </c>
      <c r="AH14" s="330">
        <f>AD14-AF14</f>
        <v>4124</v>
      </c>
    </row>
    <row r="15" spans="1:34" s="99" customFormat="1" ht="54" customHeight="1">
      <c r="A15" s="97">
        <v>1</v>
      </c>
      <c r="B15" s="348" t="s">
        <v>857</v>
      </c>
      <c r="C15" s="333">
        <f>C17+C26+C16</f>
        <v>30</v>
      </c>
      <c r="D15" s="333">
        <f aca="true" t="shared" si="3" ref="D15:AG15">D17+D26+D16</f>
        <v>26</v>
      </c>
      <c r="E15" s="333">
        <f t="shared" si="3"/>
        <v>137.3456815</v>
      </c>
      <c r="F15" s="333">
        <f t="shared" si="3"/>
        <v>52.07000000000001</v>
      </c>
      <c r="G15" s="333">
        <f t="shared" si="3"/>
        <v>4</v>
      </c>
      <c r="H15" s="333">
        <f t="shared" si="3"/>
        <v>1</v>
      </c>
      <c r="I15" s="333">
        <f t="shared" si="3"/>
        <v>0.1</v>
      </c>
      <c r="J15" s="333">
        <f t="shared" si="3"/>
        <v>0</v>
      </c>
      <c r="K15" s="333">
        <f t="shared" si="3"/>
        <v>0</v>
      </c>
      <c r="L15" s="333">
        <f t="shared" si="3"/>
        <v>0</v>
      </c>
      <c r="M15" s="333">
        <f t="shared" si="3"/>
        <v>0</v>
      </c>
      <c r="N15" s="333">
        <f t="shared" si="3"/>
        <v>0</v>
      </c>
      <c r="O15" s="333">
        <f t="shared" si="3"/>
        <v>0</v>
      </c>
      <c r="P15" s="333">
        <f t="shared" si="3"/>
        <v>0</v>
      </c>
      <c r="Q15" s="333">
        <f t="shared" si="3"/>
        <v>2.9000000000000004</v>
      </c>
      <c r="R15" s="333">
        <f t="shared" si="3"/>
        <v>15.624265000000001</v>
      </c>
      <c r="S15" s="333">
        <f t="shared" si="3"/>
        <v>976</v>
      </c>
      <c r="T15" s="333">
        <f t="shared" si="3"/>
        <v>765</v>
      </c>
      <c r="U15" s="333">
        <f t="shared" si="3"/>
        <v>200</v>
      </c>
      <c r="V15" s="333">
        <f t="shared" si="3"/>
        <v>0</v>
      </c>
      <c r="W15" s="333">
        <f t="shared" si="3"/>
        <v>1241</v>
      </c>
      <c r="X15" s="333">
        <f t="shared" si="3"/>
        <v>3182</v>
      </c>
      <c r="Y15" s="334">
        <f t="shared" si="3"/>
        <v>76</v>
      </c>
      <c r="Z15" s="333">
        <f t="shared" si="3"/>
        <v>300</v>
      </c>
      <c r="AA15" s="333">
        <f t="shared" si="3"/>
        <v>180</v>
      </c>
      <c r="AB15" s="333">
        <f t="shared" si="3"/>
        <v>120</v>
      </c>
      <c r="AC15" s="330">
        <f>X15-Y15-AA15</f>
        <v>2926</v>
      </c>
      <c r="AD15" s="330">
        <f t="shared" si="2"/>
        <v>2850</v>
      </c>
      <c r="AE15" s="333">
        <f t="shared" si="3"/>
        <v>400</v>
      </c>
      <c r="AF15" s="333">
        <f t="shared" si="3"/>
        <v>240</v>
      </c>
      <c r="AG15" s="333">
        <f t="shared" si="3"/>
        <v>160</v>
      </c>
      <c r="AH15" s="330">
        <f>AD15-AF15</f>
        <v>2610</v>
      </c>
    </row>
    <row r="16" spans="1:34" s="99" customFormat="1" ht="36" customHeight="1">
      <c r="A16" s="97" t="s">
        <v>311</v>
      </c>
      <c r="B16" s="348" t="s">
        <v>804</v>
      </c>
      <c r="C16" s="333"/>
      <c r="D16" s="333"/>
      <c r="E16" s="333"/>
      <c r="F16" s="333"/>
      <c r="G16" s="333"/>
      <c r="H16" s="333"/>
      <c r="I16" s="333"/>
      <c r="J16" s="333"/>
      <c r="K16" s="333"/>
      <c r="L16" s="333"/>
      <c r="M16" s="333"/>
      <c r="N16" s="333"/>
      <c r="O16" s="333"/>
      <c r="P16" s="333"/>
      <c r="Q16" s="333"/>
      <c r="R16" s="333"/>
      <c r="S16" s="333"/>
      <c r="T16" s="333"/>
      <c r="U16" s="333">
        <v>200</v>
      </c>
      <c r="V16" s="333"/>
      <c r="W16" s="333">
        <v>0</v>
      </c>
      <c r="X16" s="333">
        <f>SUM(S16:W16)</f>
        <v>200</v>
      </c>
      <c r="Y16" s="334">
        <v>0</v>
      </c>
      <c r="Z16" s="333"/>
      <c r="AA16" s="333"/>
      <c r="AB16" s="333"/>
      <c r="AC16" s="330">
        <f aca="true" t="shared" si="4" ref="AC16:AC75">X16+Z16</f>
        <v>200</v>
      </c>
      <c r="AD16" s="330">
        <f t="shared" si="2"/>
        <v>200</v>
      </c>
      <c r="AE16" s="446"/>
      <c r="AF16" s="446"/>
      <c r="AG16" s="446"/>
      <c r="AH16" s="330">
        <f>AD16+AF16</f>
        <v>200</v>
      </c>
    </row>
    <row r="17" spans="1:34" s="100" customFormat="1" ht="45" customHeight="1">
      <c r="A17" s="97" t="s">
        <v>312</v>
      </c>
      <c r="B17" s="348" t="s">
        <v>805</v>
      </c>
      <c r="C17" s="335">
        <f>C18+C22</f>
        <v>26</v>
      </c>
      <c r="D17" s="335">
        <f>D18+D22</f>
        <v>22</v>
      </c>
      <c r="E17" s="335">
        <f>E18+E22</f>
        <v>119.55143100000001</v>
      </c>
      <c r="F17" s="335">
        <f>SUM(F19:F21)</f>
        <v>42.400000000000006</v>
      </c>
      <c r="G17" s="335">
        <f>G18+G22</f>
        <v>4</v>
      </c>
      <c r="H17" s="335">
        <f aca="true" t="shared" si="5" ref="H17:R17">H18+H22</f>
        <v>1</v>
      </c>
      <c r="I17" s="335">
        <f t="shared" si="5"/>
        <v>0.1</v>
      </c>
      <c r="J17" s="335">
        <f t="shared" si="5"/>
        <v>0</v>
      </c>
      <c r="K17" s="335">
        <f t="shared" si="5"/>
        <v>0</v>
      </c>
      <c r="L17" s="335">
        <f t="shared" si="5"/>
        <v>0</v>
      </c>
      <c r="M17" s="335">
        <f t="shared" si="5"/>
        <v>0</v>
      </c>
      <c r="N17" s="335">
        <f t="shared" si="5"/>
        <v>0</v>
      </c>
      <c r="O17" s="335">
        <f t="shared" si="5"/>
        <v>0</v>
      </c>
      <c r="P17" s="335">
        <f t="shared" si="5"/>
        <v>0</v>
      </c>
      <c r="Q17" s="335">
        <f t="shared" si="5"/>
        <v>2.9000000000000004</v>
      </c>
      <c r="R17" s="335">
        <f t="shared" si="5"/>
        <v>13.351815</v>
      </c>
      <c r="S17" s="335">
        <f>S18+S22</f>
        <v>796</v>
      </c>
      <c r="T17" s="335">
        <f aca="true" t="shared" si="6" ref="T17:AG17">T18+T22</f>
        <v>630</v>
      </c>
      <c r="U17" s="335">
        <f t="shared" si="6"/>
        <v>0</v>
      </c>
      <c r="V17" s="335">
        <f t="shared" si="6"/>
        <v>0</v>
      </c>
      <c r="W17" s="335">
        <f>W18+W22</f>
        <v>1241</v>
      </c>
      <c r="X17" s="335">
        <f t="shared" si="6"/>
        <v>2667</v>
      </c>
      <c r="Y17" s="336">
        <f t="shared" si="6"/>
        <v>63</v>
      </c>
      <c r="Z17" s="335">
        <f t="shared" si="6"/>
        <v>300</v>
      </c>
      <c r="AA17" s="335">
        <f t="shared" si="6"/>
        <v>180</v>
      </c>
      <c r="AB17" s="335">
        <f t="shared" si="6"/>
        <v>120</v>
      </c>
      <c r="AC17" s="330">
        <f>X17-Y17-AA17</f>
        <v>2424</v>
      </c>
      <c r="AD17" s="330">
        <f t="shared" si="2"/>
        <v>2361</v>
      </c>
      <c r="AE17" s="335">
        <f t="shared" si="6"/>
        <v>400</v>
      </c>
      <c r="AF17" s="335">
        <f t="shared" si="6"/>
        <v>240</v>
      </c>
      <c r="AG17" s="335">
        <f t="shared" si="6"/>
        <v>160</v>
      </c>
      <c r="AH17" s="330">
        <f>AD17-AF17</f>
        <v>2121</v>
      </c>
    </row>
    <row r="18" spans="1:34" s="101" customFormat="1" ht="19.5" customHeight="1">
      <c r="A18" s="337"/>
      <c r="B18" s="338" t="s">
        <v>806</v>
      </c>
      <c r="C18" s="339">
        <f>SUM(C19:C21)</f>
        <v>19</v>
      </c>
      <c r="D18" s="339">
        <f>SUM(D19:D21)</f>
        <v>15</v>
      </c>
      <c r="E18" s="339">
        <f>SUM(E19:E21)</f>
        <v>81.143016</v>
      </c>
      <c r="F18" s="339">
        <f>SUM(F19:F21)</f>
        <v>42.400000000000006</v>
      </c>
      <c r="G18" s="339">
        <f aca="true" t="shared" si="7" ref="G18:AG18">SUM(G19:G21)</f>
        <v>1.9000000000000001</v>
      </c>
      <c r="H18" s="339">
        <f t="shared" si="7"/>
        <v>1</v>
      </c>
      <c r="I18" s="339">
        <f t="shared" si="7"/>
        <v>0.1</v>
      </c>
      <c r="J18" s="339">
        <f t="shared" si="7"/>
        <v>0</v>
      </c>
      <c r="K18" s="339">
        <f t="shared" si="7"/>
        <v>0</v>
      </c>
      <c r="L18" s="339">
        <f t="shared" si="7"/>
        <v>0</v>
      </c>
      <c r="M18" s="339">
        <f t="shared" si="7"/>
        <v>0</v>
      </c>
      <c r="N18" s="339">
        <f t="shared" si="7"/>
        <v>0</v>
      </c>
      <c r="O18" s="339">
        <f t="shared" si="7"/>
        <v>0</v>
      </c>
      <c r="P18" s="339">
        <f t="shared" si="7"/>
        <v>0</v>
      </c>
      <c r="Q18" s="339">
        <f t="shared" si="7"/>
        <v>0.8</v>
      </c>
      <c r="R18" s="339">
        <f t="shared" si="7"/>
        <v>10.1584</v>
      </c>
      <c r="S18" s="339">
        <f t="shared" si="7"/>
        <v>796</v>
      </c>
      <c r="T18" s="339">
        <f>SUM(T19:T21)</f>
        <v>630</v>
      </c>
      <c r="U18" s="339">
        <f t="shared" si="7"/>
        <v>0</v>
      </c>
      <c r="V18" s="339">
        <f t="shared" si="7"/>
        <v>0</v>
      </c>
      <c r="W18" s="339">
        <f t="shared" si="7"/>
        <v>171</v>
      </c>
      <c r="X18" s="339">
        <f>SUM(X19:X21)</f>
        <v>1597</v>
      </c>
      <c r="Y18" s="340">
        <f t="shared" si="7"/>
        <v>63</v>
      </c>
      <c r="Z18" s="339">
        <f t="shared" si="7"/>
        <v>300</v>
      </c>
      <c r="AA18" s="339">
        <f t="shared" si="7"/>
        <v>180</v>
      </c>
      <c r="AB18" s="339">
        <f t="shared" si="7"/>
        <v>120</v>
      </c>
      <c r="AC18" s="341">
        <f>X18-Y18-AA18</f>
        <v>1354</v>
      </c>
      <c r="AD18" s="342">
        <f t="shared" si="2"/>
        <v>1291</v>
      </c>
      <c r="AE18" s="339">
        <f t="shared" si="7"/>
        <v>400</v>
      </c>
      <c r="AF18" s="339">
        <f t="shared" si="7"/>
        <v>240</v>
      </c>
      <c r="AG18" s="339">
        <f t="shared" si="7"/>
        <v>160</v>
      </c>
      <c r="AH18" s="342">
        <f>AD18-AF18</f>
        <v>1051</v>
      </c>
    </row>
    <row r="19" spans="1:35" s="99" customFormat="1" ht="19.5" customHeight="1">
      <c r="A19" s="329">
        <v>1</v>
      </c>
      <c r="B19" s="343" t="s">
        <v>541</v>
      </c>
      <c r="C19" s="344">
        <v>14</v>
      </c>
      <c r="D19" s="344">
        <v>11</v>
      </c>
      <c r="E19" s="344">
        <f>(F19+G19+R19)*1.49</f>
        <v>66.71624</v>
      </c>
      <c r="F19" s="344">
        <v>34.56</v>
      </c>
      <c r="G19" s="344">
        <f>SUM(H19:Q19)</f>
        <v>1.9000000000000001</v>
      </c>
      <c r="H19" s="344">
        <v>1</v>
      </c>
      <c r="I19" s="344">
        <v>0.1</v>
      </c>
      <c r="J19" s="344"/>
      <c r="K19" s="344"/>
      <c r="L19" s="344"/>
      <c r="M19" s="344"/>
      <c r="N19" s="344"/>
      <c r="O19" s="344"/>
      <c r="P19" s="344"/>
      <c r="Q19" s="344">
        <v>0.8</v>
      </c>
      <c r="R19" s="344">
        <f>(F19-3.66+H19-0.4)*23.5%+(3.66+0.4)*22.5%</f>
        <v>8.316</v>
      </c>
      <c r="S19" s="344">
        <v>796</v>
      </c>
      <c r="T19" s="344">
        <f>C19*45</f>
        <v>630</v>
      </c>
      <c r="U19" s="344">
        <f>'DAC THU'!D51</f>
        <v>0</v>
      </c>
      <c r="V19" s="344">
        <v>0</v>
      </c>
      <c r="W19" s="344">
        <f>'DAC THU'!D48</f>
        <v>171</v>
      </c>
      <c r="X19" s="344">
        <f>SUM(S19:W19)</f>
        <v>1597</v>
      </c>
      <c r="Y19" s="345">
        <f>(T19)*10%</f>
        <v>63</v>
      </c>
      <c r="Z19" s="344">
        <f>AA19+AB19</f>
        <v>300</v>
      </c>
      <c r="AA19" s="344">
        <v>180</v>
      </c>
      <c r="AB19" s="344">
        <v>120</v>
      </c>
      <c r="AC19" s="346">
        <f>X19-Y19-AA19</f>
        <v>1354</v>
      </c>
      <c r="AD19" s="346">
        <f>AC19-Y19</f>
        <v>1291</v>
      </c>
      <c r="AE19" s="347">
        <f>AF19+AG19</f>
        <v>400</v>
      </c>
      <c r="AF19" s="347">
        <v>240</v>
      </c>
      <c r="AG19" s="347">
        <v>160</v>
      </c>
      <c r="AH19" s="346">
        <f>AD19-AF19</f>
        <v>1051</v>
      </c>
      <c r="AI19" s="99" t="s">
        <v>811</v>
      </c>
    </row>
    <row r="20" spans="1:34" ht="19.5" customHeight="1">
      <c r="A20" s="329">
        <v>2</v>
      </c>
      <c r="B20" s="343" t="s">
        <v>646</v>
      </c>
      <c r="C20" s="344">
        <v>3</v>
      </c>
      <c r="D20" s="344">
        <v>3</v>
      </c>
      <c r="E20" s="344">
        <f>(F20+G20+R20)*1.49</f>
        <v>10.562461</v>
      </c>
      <c r="F20" s="344">
        <v>5.74</v>
      </c>
      <c r="G20" s="344"/>
      <c r="H20" s="344"/>
      <c r="I20" s="344"/>
      <c r="J20" s="344"/>
      <c r="K20" s="344"/>
      <c r="L20" s="344"/>
      <c r="M20" s="344"/>
      <c r="N20" s="344"/>
      <c r="O20" s="344"/>
      <c r="P20" s="344"/>
      <c r="Q20" s="344"/>
      <c r="R20" s="344">
        <f>F20*23.5%</f>
        <v>1.3489</v>
      </c>
      <c r="S20" s="344"/>
      <c r="T20" s="344"/>
      <c r="U20" s="344"/>
      <c r="V20" s="344"/>
      <c r="W20" s="344"/>
      <c r="X20" s="344">
        <f>SUM(S20:W20)</f>
        <v>0</v>
      </c>
      <c r="Y20" s="345"/>
      <c r="Z20" s="344">
        <f aca="true" t="shared" si="8" ref="Z20:Z34">AA20+AB20</f>
        <v>0</v>
      </c>
      <c r="AA20" s="344"/>
      <c r="AB20" s="344"/>
      <c r="AC20" s="346">
        <f>X20+Z20</f>
        <v>0</v>
      </c>
      <c r="AD20" s="346">
        <f aca="true" t="shared" si="9" ref="AD20:AD34">AC20-Y20</f>
        <v>0</v>
      </c>
      <c r="AE20" s="347">
        <f aca="true" t="shared" si="10" ref="AE20:AE34">AF20+AG20</f>
        <v>0</v>
      </c>
      <c r="AF20" s="347"/>
      <c r="AG20" s="347"/>
      <c r="AH20" s="346">
        <f>AD20+AF20</f>
        <v>0</v>
      </c>
    </row>
    <row r="21" spans="1:34" ht="19.5" customHeight="1">
      <c r="A21" s="329">
        <v>3</v>
      </c>
      <c r="B21" s="343" t="s">
        <v>542</v>
      </c>
      <c r="C21" s="344">
        <v>2</v>
      </c>
      <c r="D21" s="344">
        <v>1</v>
      </c>
      <c r="E21" s="344">
        <f>(F21+G21+R21)*1.49</f>
        <v>3.8643150000000004</v>
      </c>
      <c r="F21" s="344">
        <v>2.1</v>
      </c>
      <c r="G21" s="344"/>
      <c r="H21" s="344"/>
      <c r="I21" s="344"/>
      <c r="J21" s="344"/>
      <c r="K21" s="344"/>
      <c r="L21" s="344"/>
      <c r="M21" s="344"/>
      <c r="N21" s="344"/>
      <c r="O21" s="344"/>
      <c r="P21" s="344"/>
      <c r="Q21" s="344"/>
      <c r="R21" s="344">
        <f>F21*23.5%</f>
        <v>0.4935</v>
      </c>
      <c r="S21" s="344"/>
      <c r="T21" s="344"/>
      <c r="U21" s="344"/>
      <c r="V21" s="344"/>
      <c r="W21" s="344"/>
      <c r="X21" s="344">
        <f>SUM(S21:W21)</f>
        <v>0</v>
      </c>
      <c r="Y21" s="345"/>
      <c r="Z21" s="344">
        <f t="shared" si="8"/>
        <v>0</v>
      </c>
      <c r="AA21" s="344"/>
      <c r="AB21" s="344"/>
      <c r="AC21" s="346">
        <f>X21+Z21</f>
        <v>0</v>
      </c>
      <c r="AD21" s="346">
        <f t="shared" si="9"/>
        <v>0</v>
      </c>
      <c r="AE21" s="347">
        <f t="shared" si="10"/>
        <v>0</v>
      </c>
      <c r="AF21" s="347"/>
      <c r="AG21" s="347"/>
      <c r="AH21" s="346">
        <f>AD21+AF21</f>
        <v>0</v>
      </c>
    </row>
    <row r="22" spans="1:34" s="101" customFormat="1" ht="19.5" customHeight="1">
      <c r="A22" s="337"/>
      <c r="B22" s="338" t="s">
        <v>807</v>
      </c>
      <c r="C22" s="339">
        <f>SUM(C23:C25)</f>
        <v>7</v>
      </c>
      <c r="D22" s="339">
        <f>SUM(D23:D25)</f>
        <v>7</v>
      </c>
      <c r="E22" s="339">
        <f>SUM(E23:E25)</f>
        <v>38.408415</v>
      </c>
      <c r="F22" s="339">
        <f>SUM(F23:F25)</f>
        <v>32.086</v>
      </c>
      <c r="G22" s="339">
        <f aca="true" t="shared" si="11" ref="G22:AG22">SUM(G23:G25)</f>
        <v>2.1</v>
      </c>
      <c r="H22" s="339">
        <f t="shared" si="11"/>
        <v>0</v>
      </c>
      <c r="I22" s="339">
        <f t="shared" si="11"/>
        <v>0</v>
      </c>
      <c r="J22" s="339">
        <f t="shared" si="11"/>
        <v>0</v>
      </c>
      <c r="K22" s="339">
        <f t="shared" si="11"/>
        <v>0</v>
      </c>
      <c r="L22" s="339">
        <f t="shared" si="11"/>
        <v>0</v>
      </c>
      <c r="M22" s="339">
        <f t="shared" si="11"/>
        <v>0</v>
      </c>
      <c r="N22" s="339">
        <f t="shared" si="11"/>
        <v>0</v>
      </c>
      <c r="O22" s="339">
        <f t="shared" si="11"/>
        <v>0</v>
      </c>
      <c r="P22" s="339">
        <f t="shared" si="11"/>
        <v>0</v>
      </c>
      <c r="Q22" s="339">
        <f t="shared" si="11"/>
        <v>2.1</v>
      </c>
      <c r="R22" s="339">
        <f t="shared" si="11"/>
        <v>3.193415</v>
      </c>
      <c r="S22" s="339">
        <f t="shared" si="11"/>
        <v>0</v>
      </c>
      <c r="T22" s="339">
        <f t="shared" si="11"/>
        <v>0</v>
      </c>
      <c r="U22" s="339">
        <f t="shared" si="11"/>
        <v>0</v>
      </c>
      <c r="V22" s="339">
        <f t="shared" si="11"/>
        <v>0</v>
      </c>
      <c r="W22" s="339">
        <f t="shared" si="11"/>
        <v>1070</v>
      </c>
      <c r="X22" s="339">
        <f t="shared" si="11"/>
        <v>1070</v>
      </c>
      <c r="Y22" s="340">
        <f t="shared" si="11"/>
        <v>0</v>
      </c>
      <c r="Z22" s="339">
        <f t="shared" si="11"/>
        <v>0</v>
      </c>
      <c r="AA22" s="339">
        <f t="shared" si="11"/>
        <v>0</v>
      </c>
      <c r="AB22" s="339"/>
      <c r="AC22" s="330">
        <f t="shared" si="4"/>
        <v>1070</v>
      </c>
      <c r="AD22" s="330">
        <f t="shared" si="2"/>
        <v>1070</v>
      </c>
      <c r="AE22" s="339">
        <f t="shared" si="11"/>
        <v>0</v>
      </c>
      <c r="AF22" s="339">
        <f t="shared" si="11"/>
        <v>0</v>
      </c>
      <c r="AG22" s="339">
        <f t="shared" si="11"/>
        <v>0</v>
      </c>
      <c r="AH22" s="330">
        <f aca="true" t="shared" si="12" ref="AH22:AH27">AD22-AF22</f>
        <v>1070</v>
      </c>
    </row>
    <row r="23" spans="1:34" ht="19.5" customHeight="1">
      <c r="A23" s="329">
        <v>4</v>
      </c>
      <c r="B23" s="343" t="s">
        <v>38</v>
      </c>
      <c r="C23" s="344">
        <v>2</v>
      </c>
      <c r="D23" s="344">
        <v>2</v>
      </c>
      <c r="E23" s="344">
        <f>F23+R23+G23*1.49</f>
        <v>13.197415</v>
      </c>
      <c r="F23" s="344">
        <v>9.586</v>
      </c>
      <c r="G23" s="344">
        <f>SUM(H23:Q23)</f>
        <v>1.7</v>
      </c>
      <c r="H23" s="344"/>
      <c r="I23" s="344"/>
      <c r="J23" s="344"/>
      <c r="K23" s="344"/>
      <c r="L23" s="344"/>
      <c r="M23" s="344"/>
      <c r="N23" s="344"/>
      <c r="O23" s="344"/>
      <c r="P23" s="344"/>
      <c r="Q23" s="344">
        <f>0.85*2</f>
        <v>1.7</v>
      </c>
      <c r="R23" s="344">
        <f>4.589*23.5%</f>
        <v>1.0784150000000001</v>
      </c>
      <c r="S23" s="344"/>
      <c r="T23" s="344"/>
      <c r="U23" s="344"/>
      <c r="V23" s="344"/>
      <c r="W23" s="344">
        <f>'DAC THU'!D50</f>
        <v>300</v>
      </c>
      <c r="X23" s="344">
        <f>SUM(S23:W23)</f>
        <v>300</v>
      </c>
      <c r="Y23" s="345"/>
      <c r="Z23" s="344">
        <f t="shared" si="8"/>
        <v>0</v>
      </c>
      <c r="AA23" s="344"/>
      <c r="AB23" s="344"/>
      <c r="AC23" s="346">
        <f t="shared" si="4"/>
        <v>300</v>
      </c>
      <c r="AD23" s="346">
        <f t="shared" si="9"/>
        <v>300</v>
      </c>
      <c r="AE23" s="347">
        <f t="shared" si="10"/>
        <v>0</v>
      </c>
      <c r="AF23" s="347"/>
      <c r="AG23" s="347"/>
      <c r="AH23" s="346">
        <f t="shared" si="12"/>
        <v>300</v>
      </c>
    </row>
    <row r="24" spans="1:34" ht="19.5" customHeight="1">
      <c r="A24" s="329">
        <v>5</v>
      </c>
      <c r="B24" s="343" t="s">
        <v>40</v>
      </c>
      <c r="C24" s="344">
        <v>2</v>
      </c>
      <c r="D24" s="344">
        <v>2</v>
      </c>
      <c r="E24" s="344">
        <f>F24+R24+G24*1.49</f>
        <v>11.711</v>
      </c>
      <c r="F24" s="344">
        <v>9</v>
      </c>
      <c r="G24" s="344">
        <f>SUM(H24:Q24)</f>
        <v>0.4</v>
      </c>
      <c r="H24" s="344"/>
      <c r="I24" s="344"/>
      <c r="J24" s="344"/>
      <c r="K24" s="344"/>
      <c r="L24" s="344"/>
      <c r="M24" s="344"/>
      <c r="N24" s="344"/>
      <c r="O24" s="344"/>
      <c r="P24" s="344"/>
      <c r="Q24" s="344">
        <f>0.2*2</f>
        <v>0.4</v>
      </c>
      <c r="R24" s="344">
        <f>F24*23.5%</f>
        <v>2.1149999999999998</v>
      </c>
      <c r="S24" s="344"/>
      <c r="T24" s="344"/>
      <c r="U24" s="344"/>
      <c r="V24" s="344"/>
      <c r="W24" s="344"/>
      <c r="X24" s="344">
        <f>SUM(S24:W24)</f>
        <v>0</v>
      </c>
      <c r="Y24" s="345"/>
      <c r="Z24" s="344">
        <f t="shared" si="8"/>
        <v>0</v>
      </c>
      <c r="AA24" s="344"/>
      <c r="AB24" s="344"/>
      <c r="AC24" s="346">
        <f t="shared" si="4"/>
        <v>0</v>
      </c>
      <c r="AD24" s="346">
        <f t="shared" si="9"/>
        <v>0</v>
      </c>
      <c r="AE24" s="347">
        <f t="shared" si="10"/>
        <v>0</v>
      </c>
      <c r="AF24" s="347"/>
      <c r="AG24" s="347"/>
      <c r="AH24" s="346">
        <f t="shared" si="12"/>
        <v>0</v>
      </c>
    </row>
    <row r="25" spans="1:34" ht="19.5" customHeight="1">
      <c r="A25" s="329">
        <v>6</v>
      </c>
      <c r="B25" s="343" t="s">
        <v>39</v>
      </c>
      <c r="C25" s="344">
        <v>3</v>
      </c>
      <c r="D25" s="344">
        <v>3</v>
      </c>
      <c r="E25" s="344">
        <f>F25+R25+G25*1.49</f>
        <v>13.5</v>
      </c>
      <c r="F25" s="344">
        <v>13.5</v>
      </c>
      <c r="G25" s="344">
        <f>SUM(H25:Q25)</f>
        <v>0</v>
      </c>
      <c r="H25" s="344"/>
      <c r="I25" s="344"/>
      <c r="J25" s="344"/>
      <c r="K25" s="344"/>
      <c r="L25" s="344"/>
      <c r="M25" s="344"/>
      <c r="N25" s="344"/>
      <c r="O25" s="344"/>
      <c r="P25" s="344"/>
      <c r="Q25" s="344"/>
      <c r="R25" s="344"/>
      <c r="S25" s="344"/>
      <c r="T25" s="344"/>
      <c r="U25" s="344">
        <v>0</v>
      </c>
      <c r="V25" s="344"/>
      <c r="W25" s="344">
        <f>'DAC THU'!D49</f>
        <v>770</v>
      </c>
      <c r="X25" s="344">
        <f>SUM(S25:W25)</f>
        <v>770</v>
      </c>
      <c r="Y25" s="345"/>
      <c r="Z25" s="344">
        <f t="shared" si="8"/>
        <v>0</v>
      </c>
      <c r="AA25" s="344"/>
      <c r="AB25" s="344"/>
      <c r="AC25" s="346">
        <f t="shared" si="4"/>
        <v>770</v>
      </c>
      <c r="AD25" s="346">
        <f t="shared" si="9"/>
        <v>770</v>
      </c>
      <c r="AE25" s="347">
        <f t="shared" si="10"/>
        <v>0</v>
      </c>
      <c r="AF25" s="347"/>
      <c r="AG25" s="347"/>
      <c r="AH25" s="346">
        <f t="shared" si="12"/>
        <v>770</v>
      </c>
    </row>
    <row r="26" spans="1:34" s="100" customFormat="1" ht="42" customHeight="1">
      <c r="A26" s="97" t="s">
        <v>381</v>
      </c>
      <c r="B26" s="348" t="s">
        <v>808</v>
      </c>
      <c r="C26" s="335">
        <f>C27+C28</f>
        <v>4</v>
      </c>
      <c r="D26" s="335">
        <f>D27+D28</f>
        <v>4</v>
      </c>
      <c r="E26" s="335">
        <f>E27+E28</f>
        <v>17.7942505</v>
      </c>
      <c r="F26" s="335">
        <f aca="true" t="shared" si="13" ref="F26:AG26">F27+F28</f>
        <v>9.67</v>
      </c>
      <c r="G26" s="335">
        <f t="shared" si="13"/>
        <v>0</v>
      </c>
      <c r="H26" s="335">
        <f t="shared" si="13"/>
        <v>0</v>
      </c>
      <c r="I26" s="335">
        <f t="shared" si="13"/>
        <v>0</v>
      </c>
      <c r="J26" s="335">
        <f t="shared" si="13"/>
        <v>0</v>
      </c>
      <c r="K26" s="335">
        <f t="shared" si="13"/>
        <v>0</v>
      </c>
      <c r="L26" s="335">
        <f t="shared" si="13"/>
        <v>0</v>
      </c>
      <c r="M26" s="335">
        <f t="shared" si="13"/>
        <v>0</v>
      </c>
      <c r="N26" s="335">
        <f t="shared" si="13"/>
        <v>0</v>
      </c>
      <c r="O26" s="335">
        <f t="shared" si="13"/>
        <v>0</v>
      </c>
      <c r="P26" s="335">
        <f t="shared" si="13"/>
        <v>0</v>
      </c>
      <c r="Q26" s="335">
        <f t="shared" si="13"/>
        <v>0</v>
      </c>
      <c r="R26" s="335">
        <f t="shared" si="13"/>
        <v>2.27245</v>
      </c>
      <c r="S26" s="335">
        <f t="shared" si="13"/>
        <v>180</v>
      </c>
      <c r="T26" s="335">
        <f t="shared" si="13"/>
        <v>135</v>
      </c>
      <c r="U26" s="335">
        <f t="shared" si="13"/>
        <v>0</v>
      </c>
      <c r="V26" s="335">
        <f t="shared" si="13"/>
        <v>0</v>
      </c>
      <c r="W26" s="335">
        <f t="shared" si="13"/>
        <v>0</v>
      </c>
      <c r="X26" s="335">
        <f t="shared" si="13"/>
        <v>315</v>
      </c>
      <c r="Y26" s="336">
        <f t="shared" si="13"/>
        <v>13</v>
      </c>
      <c r="Z26" s="335">
        <f t="shared" si="13"/>
        <v>0</v>
      </c>
      <c r="AA26" s="335">
        <f t="shared" si="13"/>
        <v>0</v>
      </c>
      <c r="AB26" s="335"/>
      <c r="AC26" s="330">
        <f t="shared" si="4"/>
        <v>315</v>
      </c>
      <c r="AD26" s="330">
        <f t="shared" si="2"/>
        <v>302</v>
      </c>
      <c r="AE26" s="335">
        <f t="shared" si="13"/>
        <v>0</v>
      </c>
      <c r="AF26" s="335">
        <f t="shared" si="13"/>
        <v>0</v>
      </c>
      <c r="AG26" s="335">
        <f t="shared" si="13"/>
        <v>0</v>
      </c>
      <c r="AH26" s="330">
        <f t="shared" si="12"/>
        <v>302</v>
      </c>
    </row>
    <row r="27" spans="1:35" ht="21" customHeight="1">
      <c r="A27" s="329">
        <v>1</v>
      </c>
      <c r="B27" s="343" t="s">
        <v>543</v>
      </c>
      <c r="C27" s="344">
        <v>3</v>
      </c>
      <c r="D27" s="344">
        <v>3</v>
      </c>
      <c r="E27" s="344">
        <f>(F27+G27+R27)*1.49</f>
        <v>13.690716</v>
      </c>
      <c r="F27" s="344">
        <v>7.44</v>
      </c>
      <c r="G27" s="344">
        <v>0</v>
      </c>
      <c r="H27" s="344">
        <v>0</v>
      </c>
      <c r="I27" s="344">
        <v>0</v>
      </c>
      <c r="J27" s="344">
        <v>0</v>
      </c>
      <c r="K27" s="344"/>
      <c r="L27" s="344"/>
      <c r="M27" s="344"/>
      <c r="N27" s="344"/>
      <c r="O27" s="344"/>
      <c r="P27" s="344"/>
      <c r="Q27" s="344"/>
      <c r="R27" s="344">
        <f>F27*23.5%</f>
        <v>1.7484</v>
      </c>
      <c r="S27" s="344">
        <v>180</v>
      </c>
      <c r="T27" s="344">
        <f>C27*45</f>
        <v>135</v>
      </c>
      <c r="U27" s="344"/>
      <c r="V27" s="344"/>
      <c r="W27" s="344"/>
      <c r="X27" s="344">
        <f>SUM(S27:W27)</f>
        <v>315</v>
      </c>
      <c r="Y27" s="345">
        <v>13</v>
      </c>
      <c r="Z27" s="344">
        <f t="shared" si="8"/>
        <v>0</v>
      </c>
      <c r="AA27" s="344"/>
      <c r="AB27" s="344"/>
      <c r="AC27" s="346">
        <f t="shared" si="4"/>
        <v>315</v>
      </c>
      <c r="AD27" s="346">
        <f t="shared" si="9"/>
        <v>302</v>
      </c>
      <c r="AE27" s="347">
        <f t="shared" si="10"/>
        <v>0</v>
      </c>
      <c r="AF27" s="347"/>
      <c r="AG27" s="347"/>
      <c r="AH27" s="346">
        <f t="shared" si="12"/>
        <v>302</v>
      </c>
      <c r="AI27" s="99" t="s">
        <v>811</v>
      </c>
    </row>
    <row r="28" spans="1:34" ht="21" customHeight="1">
      <c r="A28" s="329">
        <v>2</v>
      </c>
      <c r="B28" s="343" t="s">
        <v>646</v>
      </c>
      <c r="C28" s="344">
        <v>1</v>
      </c>
      <c r="D28" s="344">
        <v>1</v>
      </c>
      <c r="E28" s="344">
        <f>(F28+G28+R28)*1.49</f>
        <v>4.103534499999999</v>
      </c>
      <c r="F28" s="344">
        <v>2.23</v>
      </c>
      <c r="G28" s="344"/>
      <c r="H28" s="344"/>
      <c r="I28" s="344"/>
      <c r="J28" s="344"/>
      <c r="K28" s="344"/>
      <c r="L28" s="344"/>
      <c r="M28" s="344"/>
      <c r="N28" s="344"/>
      <c r="O28" s="344"/>
      <c r="P28" s="344"/>
      <c r="Q28" s="344"/>
      <c r="R28" s="344">
        <f>F28*23.5%</f>
        <v>0.52405</v>
      </c>
      <c r="S28" s="344"/>
      <c r="T28" s="344"/>
      <c r="U28" s="344"/>
      <c r="V28" s="344"/>
      <c r="W28" s="344"/>
      <c r="X28" s="344">
        <f>SUM(S28:W28)</f>
        <v>0</v>
      </c>
      <c r="Y28" s="345"/>
      <c r="Z28" s="344">
        <f t="shared" si="8"/>
        <v>0</v>
      </c>
      <c r="AA28" s="344"/>
      <c r="AB28" s="344"/>
      <c r="AC28" s="346">
        <f t="shared" si="4"/>
        <v>0</v>
      </c>
      <c r="AD28" s="346">
        <f t="shared" si="9"/>
        <v>0</v>
      </c>
      <c r="AE28" s="347">
        <f t="shared" si="10"/>
        <v>0</v>
      </c>
      <c r="AF28" s="347"/>
      <c r="AG28" s="347"/>
      <c r="AH28" s="346">
        <f>AD28+AF28</f>
        <v>0</v>
      </c>
    </row>
    <row r="29" spans="1:34" s="99" customFormat="1" ht="59.25" customHeight="1">
      <c r="A29" s="97">
        <v>2</v>
      </c>
      <c r="B29" s="348" t="s">
        <v>858</v>
      </c>
      <c r="C29" s="333">
        <f>C30+C31</f>
        <v>14</v>
      </c>
      <c r="D29" s="333">
        <f>D30+D31</f>
        <v>12</v>
      </c>
      <c r="E29" s="333">
        <f>E30+E31</f>
        <v>54.321228000000005</v>
      </c>
      <c r="F29" s="333">
        <f aca="true" t="shared" si="14" ref="F29:AG29">F30+F31</f>
        <v>29.07</v>
      </c>
      <c r="G29" s="333">
        <f t="shared" si="14"/>
        <v>0.45</v>
      </c>
      <c r="H29" s="333">
        <f t="shared" si="14"/>
        <v>0.25</v>
      </c>
      <c r="I29" s="333">
        <f t="shared" si="14"/>
        <v>0</v>
      </c>
      <c r="J29" s="333">
        <f t="shared" si="14"/>
        <v>0</v>
      </c>
      <c r="K29" s="333">
        <f t="shared" si="14"/>
        <v>0</v>
      </c>
      <c r="L29" s="333">
        <f t="shared" si="14"/>
        <v>0</v>
      </c>
      <c r="M29" s="333">
        <f t="shared" si="14"/>
        <v>0</v>
      </c>
      <c r="N29" s="333">
        <f t="shared" si="14"/>
        <v>0</v>
      </c>
      <c r="O29" s="333">
        <f t="shared" si="14"/>
        <v>0</v>
      </c>
      <c r="P29" s="333">
        <f t="shared" si="14"/>
        <v>0</v>
      </c>
      <c r="Q29" s="333">
        <f t="shared" si="14"/>
        <v>0.2</v>
      </c>
      <c r="R29" s="333">
        <f t="shared" si="14"/>
        <v>6.9372</v>
      </c>
      <c r="S29" s="333">
        <f t="shared" si="14"/>
        <v>695</v>
      </c>
      <c r="T29" s="333">
        <f t="shared" si="14"/>
        <v>495</v>
      </c>
      <c r="U29" s="333">
        <f t="shared" si="14"/>
        <v>0</v>
      </c>
      <c r="V29" s="333">
        <f t="shared" si="14"/>
        <v>0</v>
      </c>
      <c r="W29" s="333">
        <f t="shared" si="14"/>
        <v>0</v>
      </c>
      <c r="X29" s="333">
        <f t="shared" si="14"/>
        <v>1190</v>
      </c>
      <c r="Y29" s="334">
        <f t="shared" si="14"/>
        <v>50</v>
      </c>
      <c r="Z29" s="333">
        <f t="shared" si="14"/>
        <v>0</v>
      </c>
      <c r="AA29" s="333">
        <f t="shared" si="14"/>
        <v>0</v>
      </c>
      <c r="AB29" s="333"/>
      <c r="AC29" s="330">
        <f t="shared" si="4"/>
        <v>1190</v>
      </c>
      <c r="AD29" s="330">
        <f t="shared" si="2"/>
        <v>1140</v>
      </c>
      <c r="AE29" s="333">
        <f t="shared" si="14"/>
        <v>63</v>
      </c>
      <c r="AF29" s="333">
        <f t="shared" si="14"/>
        <v>38</v>
      </c>
      <c r="AG29" s="333">
        <f t="shared" si="14"/>
        <v>25</v>
      </c>
      <c r="AH29" s="330">
        <f>AD29-AF29</f>
        <v>1102</v>
      </c>
    </row>
    <row r="30" spans="1:35" ht="21" customHeight="1">
      <c r="A30" s="329" t="s">
        <v>311</v>
      </c>
      <c r="B30" s="343" t="s">
        <v>543</v>
      </c>
      <c r="C30" s="344">
        <v>11</v>
      </c>
      <c r="D30" s="344">
        <v>10</v>
      </c>
      <c r="E30" s="344">
        <f>(F30+G30+R30)*1.49</f>
        <v>50.015277000000005</v>
      </c>
      <c r="F30" s="344">
        <v>26.73</v>
      </c>
      <c r="G30" s="344">
        <f>SUM(H30:Q30)</f>
        <v>0.45</v>
      </c>
      <c r="H30" s="344">
        <v>0.25</v>
      </c>
      <c r="I30" s="344"/>
      <c r="J30" s="344"/>
      <c r="K30" s="344"/>
      <c r="L30" s="344"/>
      <c r="M30" s="344"/>
      <c r="N30" s="344"/>
      <c r="O30" s="344"/>
      <c r="P30" s="344"/>
      <c r="Q30" s="344">
        <v>0.2</v>
      </c>
      <c r="R30" s="344">
        <f>(F30+G30)*23.5%</f>
        <v>6.3873</v>
      </c>
      <c r="S30" s="344">
        <v>695</v>
      </c>
      <c r="T30" s="344">
        <f>C30*45</f>
        <v>495</v>
      </c>
      <c r="U30" s="344"/>
      <c r="V30" s="344"/>
      <c r="W30" s="344"/>
      <c r="X30" s="344">
        <f>SUM(S30:W30)</f>
        <v>1190</v>
      </c>
      <c r="Y30" s="345">
        <v>50</v>
      </c>
      <c r="Z30" s="344">
        <f t="shared" si="8"/>
        <v>0</v>
      </c>
      <c r="AA30" s="344"/>
      <c r="AB30" s="344"/>
      <c r="AC30" s="346">
        <f t="shared" si="4"/>
        <v>1190</v>
      </c>
      <c r="AD30" s="346">
        <f t="shared" si="9"/>
        <v>1140</v>
      </c>
      <c r="AE30" s="347">
        <f t="shared" si="10"/>
        <v>63</v>
      </c>
      <c r="AF30" s="347">
        <v>38</v>
      </c>
      <c r="AG30" s="347">
        <v>25</v>
      </c>
      <c r="AH30" s="346">
        <f>AD30-AF30</f>
        <v>1102</v>
      </c>
      <c r="AI30" s="99" t="s">
        <v>811</v>
      </c>
    </row>
    <row r="31" spans="1:34" ht="21" customHeight="1">
      <c r="A31" s="329" t="s">
        <v>312</v>
      </c>
      <c r="B31" s="343" t="s">
        <v>646</v>
      </c>
      <c r="C31" s="344">
        <v>3</v>
      </c>
      <c r="D31" s="344">
        <v>2</v>
      </c>
      <c r="E31" s="344">
        <f>(F31+G31+R31)*1.49</f>
        <v>4.305950999999999</v>
      </c>
      <c r="F31" s="344">
        <v>2.34</v>
      </c>
      <c r="G31" s="344"/>
      <c r="H31" s="344"/>
      <c r="I31" s="344"/>
      <c r="J31" s="344"/>
      <c r="K31" s="344"/>
      <c r="L31" s="344"/>
      <c r="M31" s="344"/>
      <c r="N31" s="344"/>
      <c r="O31" s="344"/>
      <c r="P31" s="344"/>
      <c r="Q31" s="344"/>
      <c r="R31" s="344">
        <f>F31*23.5%</f>
        <v>0.5498999999999999</v>
      </c>
      <c r="S31" s="344"/>
      <c r="T31" s="344"/>
      <c r="U31" s="344"/>
      <c r="V31" s="344"/>
      <c r="W31" s="344"/>
      <c r="X31" s="344">
        <f>SUM(S31:W31)</f>
        <v>0</v>
      </c>
      <c r="Y31" s="345"/>
      <c r="Z31" s="344">
        <f t="shared" si="8"/>
        <v>0</v>
      </c>
      <c r="AA31" s="344"/>
      <c r="AB31" s="344"/>
      <c r="AC31" s="346">
        <f t="shared" si="4"/>
        <v>0</v>
      </c>
      <c r="AD31" s="346">
        <f t="shared" si="9"/>
        <v>0</v>
      </c>
      <c r="AE31" s="347">
        <f t="shared" si="10"/>
        <v>0</v>
      </c>
      <c r="AF31" s="347"/>
      <c r="AG31" s="347"/>
      <c r="AH31" s="346">
        <f>AD31-AF31</f>
        <v>0</v>
      </c>
    </row>
    <row r="32" spans="1:34" s="99" customFormat="1" ht="61.5" customHeight="1">
      <c r="A32" s="97" t="s">
        <v>544</v>
      </c>
      <c r="B32" s="348" t="s">
        <v>859</v>
      </c>
      <c r="C32" s="333">
        <f>C33+C34</f>
        <v>5</v>
      </c>
      <c r="D32" s="333">
        <f aca="true" t="shared" si="15" ref="D32:S32">D33+D34</f>
        <v>5</v>
      </c>
      <c r="E32" s="333">
        <f t="shared" si="15"/>
        <v>47.9855394</v>
      </c>
      <c r="F32" s="333">
        <f t="shared" si="15"/>
        <v>25.34</v>
      </c>
      <c r="G32" s="333">
        <f t="shared" si="15"/>
        <v>0.756</v>
      </c>
      <c r="H32" s="333">
        <f t="shared" si="15"/>
        <v>0.25</v>
      </c>
      <c r="I32" s="333">
        <f t="shared" si="15"/>
        <v>0.1</v>
      </c>
      <c r="J32" s="333">
        <f t="shared" si="15"/>
        <v>0.40599999999999997</v>
      </c>
      <c r="K32" s="333">
        <f t="shared" si="15"/>
        <v>0</v>
      </c>
      <c r="L32" s="333">
        <f t="shared" si="15"/>
        <v>0</v>
      </c>
      <c r="M32" s="333">
        <f t="shared" si="15"/>
        <v>0</v>
      </c>
      <c r="N32" s="333">
        <f t="shared" si="15"/>
        <v>0</v>
      </c>
      <c r="O32" s="333">
        <f t="shared" si="15"/>
        <v>0</v>
      </c>
      <c r="P32" s="333">
        <f t="shared" si="15"/>
        <v>0</v>
      </c>
      <c r="Q32" s="333">
        <f t="shared" si="15"/>
        <v>0</v>
      </c>
      <c r="R32" s="333">
        <f t="shared" si="15"/>
        <v>6.1090599999999995</v>
      </c>
      <c r="S32" s="333">
        <f t="shared" si="15"/>
        <v>389</v>
      </c>
      <c r="T32" s="333">
        <f>T33+T34</f>
        <v>180</v>
      </c>
      <c r="U32" s="333">
        <f aca="true" t="shared" si="16" ref="U32:AG32">U33+U34</f>
        <v>0</v>
      </c>
      <c r="V32" s="333">
        <f t="shared" si="16"/>
        <v>0</v>
      </c>
      <c r="W32" s="333">
        <f t="shared" si="16"/>
        <v>0</v>
      </c>
      <c r="X32" s="333">
        <f t="shared" si="16"/>
        <v>569</v>
      </c>
      <c r="Y32" s="334">
        <f t="shared" si="16"/>
        <v>18</v>
      </c>
      <c r="Z32" s="333">
        <f t="shared" si="16"/>
        <v>0</v>
      </c>
      <c r="AA32" s="333">
        <f t="shared" si="16"/>
        <v>0</v>
      </c>
      <c r="AB32" s="333">
        <f t="shared" si="16"/>
        <v>0</v>
      </c>
      <c r="AC32" s="330">
        <f t="shared" si="4"/>
        <v>569</v>
      </c>
      <c r="AD32" s="330">
        <f t="shared" si="2"/>
        <v>551</v>
      </c>
      <c r="AE32" s="333">
        <f t="shared" si="16"/>
        <v>119</v>
      </c>
      <c r="AF32" s="333">
        <f t="shared" si="16"/>
        <v>71</v>
      </c>
      <c r="AG32" s="333">
        <f t="shared" si="16"/>
        <v>48</v>
      </c>
      <c r="AH32" s="330">
        <f>AD32-AF32</f>
        <v>480</v>
      </c>
    </row>
    <row r="33" spans="1:35" ht="18.75" customHeight="1">
      <c r="A33" s="329" t="s">
        <v>219</v>
      </c>
      <c r="B33" s="343" t="s">
        <v>543</v>
      </c>
      <c r="C33" s="344">
        <v>4</v>
      </c>
      <c r="D33" s="344">
        <v>4</v>
      </c>
      <c r="E33" s="344">
        <f>(F33+G33+R33)*1.49</f>
        <v>46.1453894</v>
      </c>
      <c r="F33" s="344">
        <v>24.34</v>
      </c>
      <c r="G33" s="344">
        <f>SUM(H33:Q33)</f>
        <v>0.756</v>
      </c>
      <c r="H33" s="344">
        <v>0.25</v>
      </c>
      <c r="I33" s="344">
        <v>0.1</v>
      </c>
      <c r="J33" s="344">
        <v>0.40599999999999997</v>
      </c>
      <c r="K33" s="344"/>
      <c r="L33" s="344"/>
      <c r="M33" s="344"/>
      <c r="N33" s="344"/>
      <c r="O33" s="344"/>
      <c r="P33" s="344"/>
      <c r="Q33" s="344"/>
      <c r="R33" s="344">
        <f>(F33+H33+J33)*23.5%</f>
        <v>5.874059999999999</v>
      </c>
      <c r="S33" s="344">
        <v>389</v>
      </c>
      <c r="T33" s="344">
        <f>C33*45</f>
        <v>180</v>
      </c>
      <c r="U33" s="344"/>
      <c r="V33" s="344"/>
      <c r="W33" s="344"/>
      <c r="X33" s="344">
        <f>SUM(S33:W33)</f>
        <v>569</v>
      </c>
      <c r="Y33" s="345">
        <f>T33*10%</f>
        <v>18</v>
      </c>
      <c r="Z33" s="344">
        <f t="shared" si="8"/>
        <v>0</v>
      </c>
      <c r="AA33" s="344"/>
      <c r="AB33" s="344"/>
      <c r="AC33" s="346">
        <f t="shared" si="4"/>
        <v>569</v>
      </c>
      <c r="AD33" s="346">
        <f t="shared" si="9"/>
        <v>551</v>
      </c>
      <c r="AE33" s="347">
        <f t="shared" si="10"/>
        <v>119</v>
      </c>
      <c r="AF33" s="347">
        <v>71</v>
      </c>
      <c r="AG33" s="347">
        <v>48</v>
      </c>
      <c r="AH33" s="346">
        <f>AD33-AF33</f>
        <v>480</v>
      </c>
      <c r="AI33" s="99" t="s">
        <v>811</v>
      </c>
    </row>
    <row r="34" spans="1:34" ht="18.75" customHeight="1">
      <c r="A34" s="329" t="s">
        <v>220</v>
      </c>
      <c r="B34" s="343" t="s">
        <v>646</v>
      </c>
      <c r="C34" s="344">
        <v>1</v>
      </c>
      <c r="D34" s="344">
        <v>1</v>
      </c>
      <c r="E34" s="344">
        <f>(F34+G34+R34)*1.49</f>
        <v>1.8401499999999997</v>
      </c>
      <c r="F34" s="344">
        <v>1</v>
      </c>
      <c r="G34" s="344"/>
      <c r="H34" s="344"/>
      <c r="I34" s="344"/>
      <c r="J34" s="344"/>
      <c r="K34" s="344"/>
      <c r="L34" s="344"/>
      <c r="M34" s="344"/>
      <c r="N34" s="344"/>
      <c r="O34" s="344"/>
      <c r="P34" s="344"/>
      <c r="Q34" s="344"/>
      <c r="R34" s="344">
        <f>(F34+H34+J34)*23.5%</f>
        <v>0.235</v>
      </c>
      <c r="S34" s="344"/>
      <c r="T34" s="344"/>
      <c r="U34" s="344"/>
      <c r="V34" s="344"/>
      <c r="W34" s="344"/>
      <c r="X34" s="344">
        <f>SUM(S34:W34)</f>
        <v>0</v>
      </c>
      <c r="Y34" s="345"/>
      <c r="Z34" s="344">
        <f t="shared" si="8"/>
        <v>0</v>
      </c>
      <c r="AA34" s="344"/>
      <c r="AB34" s="344"/>
      <c r="AC34" s="346">
        <f t="shared" si="4"/>
        <v>0</v>
      </c>
      <c r="AD34" s="346">
        <f t="shared" si="9"/>
        <v>0</v>
      </c>
      <c r="AE34" s="347">
        <f t="shared" si="10"/>
        <v>0</v>
      </c>
      <c r="AF34" s="347"/>
      <c r="AG34" s="347"/>
      <c r="AH34" s="346">
        <f>AD34+AF34</f>
        <v>0</v>
      </c>
    </row>
    <row r="35" spans="1:34" ht="19.5" customHeight="1">
      <c r="A35" s="97" t="s">
        <v>296</v>
      </c>
      <c r="B35" s="348" t="s">
        <v>223</v>
      </c>
      <c r="C35" s="333">
        <f aca="true" t="shared" si="17" ref="C35:AA35">C36+C41+C48+C50+C52+C54+C56</f>
        <v>18</v>
      </c>
      <c r="D35" s="333">
        <f t="shared" si="17"/>
        <v>18</v>
      </c>
      <c r="E35" s="333">
        <f t="shared" si="17"/>
        <v>203.66290735</v>
      </c>
      <c r="F35" s="333">
        <f t="shared" si="17"/>
        <v>174.90200000000002</v>
      </c>
      <c r="G35" s="333">
        <f t="shared" si="17"/>
        <v>0</v>
      </c>
      <c r="H35" s="333">
        <f t="shared" si="17"/>
        <v>1.15</v>
      </c>
      <c r="I35" s="333">
        <f t="shared" si="17"/>
        <v>0</v>
      </c>
      <c r="J35" s="333">
        <f t="shared" si="17"/>
        <v>0.249</v>
      </c>
      <c r="K35" s="333">
        <f t="shared" si="17"/>
        <v>0</v>
      </c>
      <c r="L35" s="333">
        <f t="shared" si="17"/>
        <v>0</v>
      </c>
      <c r="M35" s="333">
        <f t="shared" si="17"/>
        <v>0</v>
      </c>
      <c r="N35" s="333">
        <f t="shared" si="17"/>
        <v>0</v>
      </c>
      <c r="O35" s="333">
        <f t="shared" si="17"/>
        <v>0</v>
      </c>
      <c r="P35" s="333">
        <f t="shared" si="17"/>
        <v>0</v>
      </c>
      <c r="Q35" s="333">
        <f t="shared" si="17"/>
        <v>0.893</v>
      </c>
      <c r="R35" s="333">
        <f t="shared" si="17"/>
        <v>41.430735</v>
      </c>
      <c r="S35" s="333">
        <f t="shared" si="17"/>
        <v>1006</v>
      </c>
      <c r="T35" s="333">
        <f t="shared" si="17"/>
        <v>450</v>
      </c>
      <c r="U35" s="333">
        <f t="shared" si="17"/>
        <v>49931</v>
      </c>
      <c r="V35" s="333">
        <f t="shared" si="17"/>
        <v>0</v>
      </c>
      <c r="W35" s="333">
        <f t="shared" si="17"/>
        <v>0</v>
      </c>
      <c r="X35" s="333">
        <f t="shared" si="17"/>
        <v>51517</v>
      </c>
      <c r="Y35" s="333">
        <f t="shared" si="17"/>
        <v>4988.8</v>
      </c>
      <c r="Z35" s="333">
        <f t="shared" si="17"/>
        <v>0</v>
      </c>
      <c r="AA35" s="333">
        <f t="shared" si="17"/>
        <v>0</v>
      </c>
      <c r="AB35" s="333"/>
      <c r="AC35" s="330">
        <f t="shared" si="4"/>
        <v>51517</v>
      </c>
      <c r="AD35" s="330">
        <f t="shared" si="2"/>
        <v>46528.2</v>
      </c>
      <c r="AE35" s="347"/>
      <c r="AF35" s="347"/>
      <c r="AG35" s="347"/>
      <c r="AH35" s="330">
        <f>AD35+AF35</f>
        <v>46528.2</v>
      </c>
    </row>
    <row r="36" spans="1:34" ht="17.25" customHeight="1">
      <c r="A36" s="97">
        <v>1</v>
      </c>
      <c r="B36" s="348" t="s">
        <v>545</v>
      </c>
      <c r="C36" s="333">
        <f>SUM(C37:C38)</f>
        <v>5</v>
      </c>
      <c r="D36" s="333">
        <f aca="true" t="shared" si="18" ref="D36:AH36">SUM(D37:D38)</f>
        <v>5</v>
      </c>
      <c r="E36" s="333">
        <f t="shared" si="18"/>
        <v>0</v>
      </c>
      <c r="F36" s="333">
        <f t="shared" si="18"/>
        <v>0</v>
      </c>
      <c r="G36" s="333">
        <f t="shared" si="18"/>
        <v>0</v>
      </c>
      <c r="H36" s="333">
        <f t="shared" si="18"/>
        <v>0</v>
      </c>
      <c r="I36" s="333">
        <f t="shared" si="18"/>
        <v>0</v>
      </c>
      <c r="J36" s="333">
        <f t="shared" si="18"/>
        <v>0</v>
      </c>
      <c r="K36" s="333">
        <f t="shared" si="18"/>
        <v>0</v>
      </c>
      <c r="L36" s="333">
        <f t="shared" si="18"/>
        <v>0</v>
      </c>
      <c r="M36" s="333">
        <f t="shared" si="18"/>
        <v>0</v>
      </c>
      <c r="N36" s="333">
        <f t="shared" si="18"/>
        <v>0</v>
      </c>
      <c r="O36" s="333">
        <f t="shared" si="18"/>
        <v>0</v>
      </c>
      <c r="P36" s="333">
        <f t="shared" si="18"/>
        <v>0</v>
      </c>
      <c r="Q36" s="333">
        <f t="shared" si="18"/>
        <v>0</v>
      </c>
      <c r="R36" s="333">
        <f t="shared" si="18"/>
        <v>0</v>
      </c>
      <c r="S36" s="333">
        <f t="shared" si="18"/>
        <v>461</v>
      </c>
      <c r="T36" s="333">
        <f t="shared" si="18"/>
        <v>225</v>
      </c>
      <c r="U36" s="333">
        <f t="shared" si="18"/>
        <v>3558</v>
      </c>
      <c r="V36" s="333">
        <f t="shared" si="18"/>
        <v>0</v>
      </c>
      <c r="W36" s="333">
        <f t="shared" si="18"/>
        <v>0</v>
      </c>
      <c r="X36" s="333">
        <f t="shared" si="18"/>
        <v>4244</v>
      </c>
      <c r="Y36" s="333">
        <f t="shared" si="18"/>
        <v>378.3</v>
      </c>
      <c r="Z36" s="333">
        <f t="shared" si="18"/>
        <v>0</v>
      </c>
      <c r="AA36" s="333">
        <f t="shared" si="18"/>
        <v>0</v>
      </c>
      <c r="AB36" s="333">
        <f t="shared" si="18"/>
        <v>0</v>
      </c>
      <c r="AC36" s="333">
        <f t="shared" si="18"/>
        <v>4244</v>
      </c>
      <c r="AD36" s="333">
        <f t="shared" si="18"/>
        <v>3865.7</v>
      </c>
      <c r="AE36" s="333">
        <f t="shared" si="18"/>
        <v>0</v>
      </c>
      <c r="AF36" s="333">
        <f t="shared" si="18"/>
        <v>0</v>
      </c>
      <c r="AG36" s="333">
        <f t="shared" si="18"/>
        <v>0</v>
      </c>
      <c r="AH36" s="333">
        <f t="shared" si="18"/>
        <v>3865.7</v>
      </c>
    </row>
    <row r="37" spans="1:34" s="99" customFormat="1" ht="20.25" customHeight="1">
      <c r="A37" s="97" t="s">
        <v>311</v>
      </c>
      <c r="B37" s="348" t="s">
        <v>423</v>
      </c>
      <c r="C37" s="333"/>
      <c r="D37" s="333"/>
      <c r="E37" s="333">
        <f>(F37+G37+R37)*1.49</f>
        <v>0</v>
      </c>
      <c r="F37" s="333"/>
      <c r="G37" s="333"/>
      <c r="H37" s="333"/>
      <c r="I37" s="333"/>
      <c r="J37" s="333"/>
      <c r="K37" s="333"/>
      <c r="L37" s="333"/>
      <c r="M37" s="333"/>
      <c r="N37" s="333"/>
      <c r="O37" s="333"/>
      <c r="P37" s="333"/>
      <c r="Q37" s="333"/>
      <c r="R37" s="333"/>
      <c r="S37" s="333">
        <f aca="true" t="shared" si="19" ref="S37:S70">E37*12</f>
        <v>0</v>
      </c>
      <c r="T37" s="333"/>
      <c r="U37" s="333">
        <v>3000</v>
      </c>
      <c r="V37" s="333"/>
      <c r="W37" s="333"/>
      <c r="X37" s="333">
        <f>SUM(S37:W37)</f>
        <v>3000</v>
      </c>
      <c r="Y37" s="333">
        <f>U37*10%</f>
        <v>300</v>
      </c>
      <c r="Z37" s="333"/>
      <c r="AA37" s="333"/>
      <c r="AB37" s="333"/>
      <c r="AC37" s="330">
        <f>X37+Z37</f>
        <v>3000</v>
      </c>
      <c r="AD37" s="330">
        <f t="shared" si="2"/>
        <v>2700</v>
      </c>
      <c r="AE37" s="446"/>
      <c r="AF37" s="446"/>
      <c r="AG37" s="446"/>
      <c r="AH37" s="330">
        <f>AD37+AF37</f>
        <v>2700</v>
      </c>
    </row>
    <row r="38" spans="1:34" s="99" customFormat="1" ht="20.25" customHeight="1">
      <c r="A38" s="97" t="s">
        <v>312</v>
      </c>
      <c r="B38" s="348" t="s">
        <v>691</v>
      </c>
      <c r="C38" s="333">
        <f>SUM(C39:C40)</f>
        <v>5</v>
      </c>
      <c r="D38" s="333">
        <f aca="true" t="shared" si="20" ref="D38:AH38">SUM(D39:D40)</f>
        <v>5</v>
      </c>
      <c r="E38" s="333">
        <f t="shared" si="20"/>
        <v>0</v>
      </c>
      <c r="F38" s="333">
        <f t="shared" si="20"/>
        <v>0</v>
      </c>
      <c r="G38" s="333">
        <f t="shared" si="20"/>
        <v>0</v>
      </c>
      <c r="H38" s="333">
        <f t="shared" si="20"/>
        <v>0</v>
      </c>
      <c r="I38" s="333">
        <f t="shared" si="20"/>
        <v>0</v>
      </c>
      <c r="J38" s="333">
        <f t="shared" si="20"/>
        <v>0</v>
      </c>
      <c r="K38" s="333">
        <f t="shared" si="20"/>
        <v>0</v>
      </c>
      <c r="L38" s="333">
        <f t="shared" si="20"/>
        <v>0</v>
      </c>
      <c r="M38" s="333">
        <f t="shared" si="20"/>
        <v>0</v>
      </c>
      <c r="N38" s="333">
        <f t="shared" si="20"/>
        <v>0</v>
      </c>
      <c r="O38" s="333">
        <f t="shared" si="20"/>
        <v>0</v>
      </c>
      <c r="P38" s="333">
        <f t="shared" si="20"/>
        <v>0</v>
      </c>
      <c r="Q38" s="333">
        <f t="shared" si="20"/>
        <v>0</v>
      </c>
      <c r="R38" s="333">
        <f t="shared" si="20"/>
        <v>0</v>
      </c>
      <c r="S38" s="333">
        <f t="shared" si="20"/>
        <v>461</v>
      </c>
      <c r="T38" s="333">
        <f t="shared" si="20"/>
        <v>225</v>
      </c>
      <c r="U38" s="333">
        <f t="shared" si="20"/>
        <v>558</v>
      </c>
      <c r="V38" s="333">
        <f t="shared" si="20"/>
        <v>0</v>
      </c>
      <c r="W38" s="333">
        <f t="shared" si="20"/>
        <v>0</v>
      </c>
      <c r="X38" s="333">
        <f t="shared" si="20"/>
        <v>1244</v>
      </c>
      <c r="Y38" s="333">
        <f t="shared" si="20"/>
        <v>78.30000000000001</v>
      </c>
      <c r="Z38" s="333">
        <f t="shared" si="20"/>
        <v>0</v>
      </c>
      <c r="AA38" s="333">
        <f t="shared" si="20"/>
        <v>0</v>
      </c>
      <c r="AB38" s="333">
        <f t="shared" si="20"/>
        <v>0</v>
      </c>
      <c r="AC38" s="333">
        <f t="shared" si="20"/>
        <v>1244</v>
      </c>
      <c r="AD38" s="333">
        <f t="shared" si="20"/>
        <v>1165.7</v>
      </c>
      <c r="AE38" s="333">
        <f t="shared" si="20"/>
        <v>0</v>
      </c>
      <c r="AF38" s="333">
        <f t="shared" si="20"/>
        <v>0</v>
      </c>
      <c r="AG38" s="333">
        <f t="shared" si="20"/>
        <v>0</v>
      </c>
      <c r="AH38" s="333">
        <f t="shared" si="20"/>
        <v>1165.7</v>
      </c>
    </row>
    <row r="39" spans="1:35" ht="20.25" customHeight="1">
      <c r="A39" s="97"/>
      <c r="B39" s="343" t="s">
        <v>651</v>
      </c>
      <c r="C39" s="344">
        <v>5</v>
      </c>
      <c r="D39" s="344">
        <v>5</v>
      </c>
      <c r="E39" s="344"/>
      <c r="F39" s="344"/>
      <c r="G39" s="344"/>
      <c r="H39" s="344"/>
      <c r="I39" s="344"/>
      <c r="J39" s="344"/>
      <c r="K39" s="344"/>
      <c r="L39" s="344"/>
      <c r="M39" s="344"/>
      <c r="N39" s="344"/>
      <c r="O39" s="344"/>
      <c r="P39" s="344"/>
      <c r="Q39" s="344"/>
      <c r="R39" s="344"/>
      <c r="S39" s="344">
        <v>407</v>
      </c>
      <c r="T39" s="344">
        <f>C39*45</f>
        <v>225</v>
      </c>
      <c r="U39" s="344"/>
      <c r="V39" s="344"/>
      <c r="W39" s="344"/>
      <c r="X39" s="344">
        <f>SUM(S39:W39)</f>
        <v>632</v>
      </c>
      <c r="Y39" s="344">
        <f>T39*10%</f>
        <v>22.5</v>
      </c>
      <c r="Z39" s="344"/>
      <c r="AA39" s="344"/>
      <c r="AB39" s="344"/>
      <c r="AC39" s="346">
        <f>X39+Z39</f>
        <v>632</v>
      </c>
      <c r="AD39" s="346">
        <f>AC39-Y39</f>
        <v>609.5</v>
      </c>
      <c r="AE39" s="347"/>
      <c r="AF39" s="347"/>
      <c r="AG39" s="347"/>
      <c r="AH39" s="346">
        <f>AD39+AF39</f>
        <v>609.5</v>
      </c>
      <c r="AI39" s="99" t="s">
        <v>811</v>
      </c>
    </row>
    <row r="40" spans="1:34" ht="33" customHeight="1">
      <c r="A40" s="97"/>
      <c r="B40" s="349" t="s">
        <v>809</v>
      </c>
      <c r="C40" s="344"/>
      <c r="D40" s="344"/>
      <c r="E40" s="344"/>
      <c r="F40" s="344"/>
      <c r="G40" s="344"/>
      <c r="H40" s="344"/>
      <c r="I40" s="344"/>
      <c r="J40" s="344"/>
      <c r="K40" s="344"/>
      <c r="L40" s="344"/>
      <c r="M40" s="344"/>
      <c r="N40" s="344"/>
      <c r="O40" s="344"/>
      <c r="P40" s="344"/>
      <c r="Q40" s="344"/>
      <c r="R40" s="344"/>
      <c r="S40" s="344">
        <v>54</v>
      </c>
      <c r="T40" s="344"/>
      <c r="U40" s="344">
        <v>558</v>
      </c>
      <c r="V40" s="344"/>
      <c r="W40" s="344"/>
      <c r="X40" s="344">
        <f>SUM(S40:W40)</f>
        <v>612</v>
      </c>
      <c r="Y40" s="344">
        <f>U40*10%</f>
        <v>55.800000000000004</v>
      </c>
      <c r="Z40" s="344"/>
      <c r="AA40" s="344"/>
      <c r="AB40" s="344"/>
      <c r="AC40" s="346">
        <f>X40+Z40</f>
        <v>612</v>
      </c>
      <c r="AD40" s="346">
        <f>AC40-Y40</f>
        <v>556.2</v>
      </c>
      <c r="AE40" s="347"/>
      <c r="AF40" s="347"/>
      <c r="AG40" s="347"/>
      <c r="AH40" s="346">
        <f>AD40+AF40</f>
        <v>556.2</v>
      </c>
    </row>
    <row r="41" spans="1:34" s="369" customFormat="1" ht="21" customHeight="1">
      <c r="A41" s="891">
        <v>2</v>
      </c>
      <c r="B41" s="370" t="s">
        <v>446</v>
      </c>
      <c r="C41" s="371">
        <f>C42+C45</f>
        <v>13</v>
      </c>
      <c r="D41" s="371">
        <f aca="true" t="shared" si="21" ref="D41:AH41">D42+D45</f>
        <v>13</v>
      </c>
      <c r="E41" s="371">
        <f t="shared" si="21"/>
        <v>203.66290735</v>
      </c>
      <c r="F41" s="371">
        <f t="shared" si="21"/>
        <v>174.90200000000002</v>
      </c>
      <c r="G41" s="371">
        <f t="shared" si="21"/>
        <v>0</v>
      </c>
      <c r="H41" s="371">
        <f t="shared" si="21"/>
        <v>1.15</v>
      </c>
      <c r="I41" s="371">
        <f t="shared" si="21"/>
        <v>0</v>
      </c>
      <c r="J41" s="371">
        <f t="shared" si="21"/>
        <v>0.249</v>
      </c>
      <c r="K41" s="371">
        <f t="shared" si="21"/>
        <v>0</v>
      </c>
      <c r="L41" s="371">
        <f t="shared" si="21"/>
        <v>0</v>
      </c>
      <c r="M41" s="371">
        <f t="shared" si="21"/>
        <v>0</v>
      </c>
      <c r="N41" s="371">
        <f t="shared" si="21"/>
        <v>0</v>
      </c>
      <c r="O41" s="371">
        <f t="shared" si="21"/>
        <v>0</v>
      </c>
      <c r="P41" s="371">
        <f t="shared" si="21"/>
        <v>0</v>
      </c>
      <c r="Q41" s="371">
        <f t="shared" si="21"/>
        <v>0.893</v>
      </c>
      <c r="R41" s="371">
        <f t="shared" si="21"/>
        <v>41.430735</v>
      </c>
      <c r="S41" s="371">
        <f t="shared" si="21"/>
        <v>545</v>
      </c>
      <c r="T41" s="371">
        <f t="shared" si="21"/>
        <v>225</v>
      </c>
      <c r="U41" s="371">
        <f t="shared" si="21"/>
        <v>488</v>
      </c>
      <c r="V41" s="371">
        <f t="shared" si="21"/>
        <v>0</v>
      </c>
      <c r="W41" s="371">
        <f t="shared" si="21"/>
        <v>0</v>
      </c>
      <c r="X41" s="371">
        <f t="shared" si="21"/>
        <v>1258</v>
      </c>
      <c r="Y41" s="371">
        <f t="shared" si="21"/>
        <v>23</v>
      </c>
      <c r="Z41" s="371">
        <f t="shared" si="21"/>
        <v>0</v>
      </c>
      <c r="AA41" s="371">
        <f t="shared" si="21"/>
        <v>0</v>
      </c>
      <c r="AB41" s="371">
        <f t="shared" si="21"/>
        <v>0</v>
      </c>
      <c r="AC41" s="371">
        <f t="shared" si="21"/>
        <v>1258</v>
      </c>
      <c r="AD41" s="371">
        <f t="shared" si="21"/>
        <v>1234</v>
      </c>
      <c r="AE41" s="371">
        <f t="shared" si="21"/>
        <v>0</v>
      </c>
      <c r="AF41" s="371">
        <f t="shared" si="21"/>
        <v>0</v>
      </c>
      <c r="AG41" s="371">
        <f t="shared" si="21"/>
        <v>0</v>
      </c>
      <c r="AH41" s="371">
        <f t="shared" si="21"/>
        <v>1234</v>
      </c>
    </row>
    <row r="42" spans="1:34" s="372" customFormat="1" ht="32.25" customHeight="1">
      <c r="A42" s="891" t="s">
        <v>311</v>
      </c>
      <c r="B42" s="350" t="s">
        <v>810</v>
      </c>
      <c r="C42" s="371">
        <f>C43+C44</f>
        <v>13</v>
      </c>
      <c r="D42" s="371">
        <f aca="true" t="shared" si="22" ref="D42:AH42">D43+D44</f>
        <v>13</v>
      </c>
      <c r="E42" s="371">
        <f t="shared" si="22"/>
        <v>203.66290735</v>
      </c>
      <c r="F42" s="371">
        <f t="shared" si="22"/>
        <v>174.90200000000002</v>
      </c>
      <c r="G42" s="371">
        <f t="shared" si="22"/>
        <v>0</v>
      </c>
      <c r="H42" s="371">
        <f t="shared" si="22"/>
        <v>1.15</v>
      </c>
      <c r="I42" s="371">
        <f t="shared" si="22"/>
        <v>0</v>
      </c>
      <c r="J42" s="371">
        <f t="shared" si="22"/>
        <v>0.249</v>
      </c>
      <c r="K42" s="371">
        <f t="shared" si="22"/>
        <v>0</v>
      </c>
      <c r="L42" s="371">
        <f t="shared" si="22"/>
        <v>0</v>
      </c>
      <c r="M42" s="371">
        <f t="shared" si="22"/>
        <v>0</v>
      </c>
      <c r="N42" s="371">
        <f t="shared" si="22"/>
        <v>0</v>
      </c>
      <c r="O42" s="371">
        <f t="shared" si="22"/>
        <v>0</v>
      </c>
      <c r="P42" s="371">
        <f t="shared" si="22"/>
        <v>0</v>
      </c>
      <c r="Q42" s="371">
        <f t="shared" si="22"/>
        <v>0.893</v>
      </c>
      <c r="R42" s="371">
        <f t="shared" si="22"/>
        <v>41.430735</v>
      </c>
      <c r="S42" s="371">
        <f t="shared" si="22"/>
        <v>545</v>
      </c>
      <c r="T42" s="371">
        <f t="shared" si="22"/>
        <v>225</v>
      </c>
      <c r="U42" s="371">
        <f t="shared" si="22"/>
        <v>0</v>
      </c>
      <c r="V42" s="371">
        <f t="shared" si="22"/>
        <v>0</v>
      </c>
      <c r="W42" s="371">
        <f t="shared" si="22"/>
        <v>0</v>
      </c>
      <c r="X42" s="371">
        <f t="shared" si="22"/>
        <v>770</v>
      </c>
      <c r="Y42" s="371">
        <f t="shared" si="22"/>
        <v>23</v>
      </c>
      <c r="Z42" s="371">
        <f t="shared" si="22"/>
        <v>0</v>
      </c>
      <c r="AA42" s="371">
        <f t="shared" si="22"/>
        <v>0</v>
      </c>
      <c r="AB42" s="371">
        <f t="shared" si="22"/>
        <v>0</v>
      </c>
      <c r="AC42" s="371">
        <f t="shared" si="22"/>
        <v>770</v>
      </c>
      <c r="AD42" s="371">
        <f t="shared" si="22"/>
        <v>746</v>
      </c>
      <c r="AE42" s="371">
        <f t="shared" si="22"/>
        <v>0</v>
      </c>
      <c r="AF42" s="371">
        <f t="shared" si="22"/>
        <v>0</v>
      </c>
      <c r="AG42" s="371">
        <f t="shared" si="22"/>
        <v>0</v>
      </c>
      <c r="AH42" s="371">
        <f t="shared" si="22"/>
        <v>746</v>
      </c>
    </row>
    <row r="43" spans="1:34" s="369" customFormat="1" ht="21.75" customHeight="1">
      <c r="A43" s="355"/>
      <c r="B43" s="373" t="s">
        <v>546</v>
      </c>
      <c r="C43" s="367">
        <v>5</v>
      </c>
      <c r="D43" s="367">
        <v>5</v>
      </c>
      <c r="E43" s="367">
        <f>(F43+G43+R43)*1.49</f>
        <v>62.410907349999995</v>
      </c>
      <c r="F43" s="367">
        <v>33.65</v>
      </c>
      <c r="G43" s="367"/>
      <c r="H43" s="367">
        <v>1.15</v>
      </c>
      <c r="I43" s="367"/>
      <c r="J43" s="367">
        <v>0.249</v>
      </c>
      <c r="K43" s="367"/>
      <c r="L43" s="367"/>
      <c r="M43" s="367"/>
      <c r="N43" s="367"/>
      <c r="O43" s="367"/>
      <c r="P43" s="367"/>
      <c r="Q43" s="367">
        <f>0.2+0.33+0.363</f>
        <v>0.893</v>
      </c>
      <c r="R43" s="367">
        <f>(F43+H43+J43)*23.5%</f>
        <v>8.236514999999999</v>
      </c>
      <c r="S43" s="367">
        <v>394</v>
      </c>
      <c r="T43" s="367">
        <f>C43*45</f>
        <v>225</v>
      </c>
      <c r="U43" s="367"/>
      <c r="V43" s="367"/>
      <c r="W43" s="367"/>
      <c r="X43" s="367">
        <f>SUM(S43:W43)</f>
        <v>619</v>
      </c>
      <c r="Y43" s="367">
        <v>23</v>
      </c>
      <c r="Z43" s="367"/>
      <c r="AA43" s="367"/>
      <c r="AB43" s="367"/>
      <c r="AC43" s="368">
        <f t="shared" si="4"/>
        <v>619</v>
      </c>
      <c r="AD43" s="368">
        <f>AC43-Y43-1</f>
        <v>595</v>
      </c>
      <c r="AE43" s="359"/>
      <c r="AF43" s="359"/>
      <c r="AG43" s="359"/>
      <c r="AH43" s="368">
        <f>AD43+AF43</f>
        <v>595</v>
      </c>
    </row>
    <row r="44" spans="1:34" s="369" customFormat="1" ht="19.5" customHeight="1">
      <c r="A44" s="355"/>
      <c r="B44" s="373" t="s">
        <v>547</v>
      </c>
      <c r="C44" s="367">
        <v>8</v>
      </c>
      <c r="D44" s="367">
        <v>8</v>
      </c>
      <c r="E44" s="367">
        <f>F44</f>
        <v>141.252</v>
      </c>
      <c r="F44" s="367">
        <v>141.252</v>
      </c>
      <c r="G44" s="367"/>
      <c r="H44" s="367"/>
      <c r="I44" s="367"/>
      <c r="J44" s="367"/>
      <c r="K44" s="367"/>
      <c r="L44" s="367"/>
      <c r="M44" s="367"/>
      <c r="N44" s="367"/>
      <c r="O44" s="367"/>
      <c r="P44" s="367"/>
      <c r="Q44" s="367"/>
      <c r="R44" s="367">
        <f>(F44+H44+J44)*23.5%</f>
        <v>33.19422</v>
      </c>
      <c r="S44" s="367">
        <v>151</v>
      </c>
      <c r="T44" s="367"/>
      <c r="U44" s="367"/>
      <c r="V44" s="367"/>
      <c r="W44" s="367"/>
      <c r="X44" s="367">
        <f>SUM(S44:W44)</f>
        <v>151</v>
      </c>
      <c r="Y44" s="367">
        <f>T44*10%</f>
        <v>0</v>
      </c>
      <c r="Z44" s="367"/>
      <c r="AA44" s="367"/>
      <c r="AB44" s="367"/>
      <c r="AC44" s="368">
        <f t="shared" si="4"/>
        <v>151</v>
      </c>
      <c r="AD44" s="368">
        <f t="shared" si="2"/>
        <v>151</v>
      </c>
      <c r="AE44" s="359"/>
      <c r="AF44" s="359"/>
      <c r="AG44" s="359"/>
      <c r="AH44" s="368">
        <f>AD44+AF44</f>
        <v>151</v>
      </c>
    </row>
    <row r="45" spans="1:34" s="369" customFormat="1" ht="20.25" customHeight="1">
      <c r="A45" s="891" t="s">
        <v>312</v>
      </c>
      <c r="B45" s="350" t="s">
        <v>814</v>
      </c>
      <c r="C45" s="367"/>
      <c r="D45" s="367"/>
      <c r="E45" s="367"/>
      <c r="F45" s="367"/>
      <c r="G45" s="367"/>
      <c r="H45" s="367"/>
      <c r="I45" s="367"/>
      <c r="J45" s="367"/>
      <c r="K45" s="367"/>
      <c r="L45" s="367"/>
      <c r="M45" s="367"/>
      <c r="N45" s="367"/>
      <c r="O45" s="367"/>
      <c r="P45" s="367"/>
      <c r="Q45" s="367"/>
      <c r="R45" s="367"/>
      <c r="S45" s="371">
        <f>S46+S47</f>
        <v>0</v>
      </c>
      <c r="T45" s="371">
        <f aca="true" t="shared" si="23" ref="T45:AH45">T46+T47</f>
        <v>0</v>
      </c>
      <c r="U45" s="371">
        <f t="shared" si="23"/>
        <v>488</v>
      </c>
      <c r="V45" s="371">
        <f t="shared" si="23"/>
        <v>0</v>
      </c>
      <c r="W45" s="371">
        <f t="shared" si="23"/>
        <v>0</v>
      </c>
      <c r="X45" s="371">
        <f t="shared" si="23"/>
        <v>488</v>
      </c>
      <c r="Y45" s="371">
        <f t="shared" si="23"/>
        <v>0</v>
      </c>
      <c r="Z45" s="371">
        <f t="shared" si="23"/>
        <v>0</v>
      </c>
      <c r="AA45" s="371">
        <f t="shared" si="23"/>
        <v>0</v>
      </c>
      <c r="AB45" s="371">
        <f t="shared" si="23"/>
        <v>0</v>
      </c>
      <c r="AC45" s="371">
        <f t="shared" si="23"/>
        <v>488</v>
      </c>
      <c r="AD45" s="371">
        <f t="shared" si="23"/>
        <v>488</v>
      </c>
      <c r="AE45" s="371">
        <f t="shared" si="23"/>
        <v>0</v>
      </c>
      <c r="AF45" s="371">
        <f t="shared" si="23"/>
        <v>0</v>
      </c>
      <c r="AG45" s="371">
        <f t="shared" si="23"/>
        <v>0</v>
      </c>
      <c r="AH45" s="371">
        <f t="shared" si="23"/>
        <v>488</v>
      </c>
    </row>
    <row r="46" spans="1:34" s="369" customFormat="1" ht="58.5" customHeight="1">
      <c r="A46" s="355"/>
      <c r="B46" s="374" t="s">
        <v>812</v>
      </c>
      <c r="C46" s="367"/>
      <c r="D46" s="367"/>
      <c r="E46" s="367"/>
      <c r="F46" s="367"/>
      <c r="G46" s="367"/>
      <c r="H46" s="367"/>
      <c r="I46" s="367"/>
      <c r="J46" s="367"/>
      <c r="K46" s="367"/>
      <c r="L46" s="367"/>
      <c r="M46" s="367"/>
      <c r="N46" s="367"/>
      <c r="O46" s="367"/>
      <c r="P46" s="367"/>
      <c r="Q46" s="367"/>
      <c r="R46" s="367"/>
      <c r="S46" s="367">
        <f t="shared" si="19"/>
        <v>0</v>
      </c>
      <c r="T46" s="367"/>
      <c r="U46" s="367">
        <v>200</v>
      </c>
      <c r="V46" s="367"/>
      <c r="W46" s="367"/>
      <c r="X46" s="367">
        <f>SUM(S46:W46)</f>
        <v>200</v>
      </c>
      <c r="Y46" s="367"/>
      <c r="Z46" s="367"/>
      <c r="AA46" s="367"/>
      <c r="AB46" s="367"/>
      <c r="AC46" s="368">
        <f t="shared" si="4"/>
        <v>200</v>
      </c>
      <c r="AD46" s="368">
        <f t="shared" si="2"/>
        <v>200</v>
      </c>
      <c r="AE46" s="359"/>
      <c r="AF46" s="359"/>
      <c r="AG46" s="359"/>
      <c r="AH46" s="368">
        <f aca="true" t="shared" si="24" ref="AH46:AH57">AD46+AF46</f>
        <v>200</v>
      </c>
    </row>
    <row r="47" spans="1:34" s="369" customFormat="1" ht="39" customHeight="1">
      <c r="A47" s="355"/>
      <c r="B47" s="374" t="s">
        <v>813</v>
      </c>
      <c r="C47" s="367"/>
      <c r="D47" s="367"/>
      <c r="E47" s="367"/>
      <c r="F47" s="367"/>
      <c r="G47" s="367"/>
      <c r="H47" s="367"/>
      <c r="I47" s="367"/>
      <c r="J47" s="367"/>
      <c r="K47" s="367"/>
      <c r="L47" s="367"/>
      <c r="M47" s="367"/>
      <c r="N47" s="367"/>
      <c r="O47" s="367"/>
      <c r="P47" s="367"/>
      <c r="Q47" s="367"/>
      <c r="R47" s="367"/>
      <c r="S47" s="367">
        <f t="shared" si="19"/>
        <v>0</v>
      </c>
      <c r="T47" s="367"/>
      <c r="U47" s="367">
        <v>288</v>
      </c>
      <c r="V47" s="367"/>
      <c r="W47" s="367"/>
      <c r="X47" s="367">
        <f>SUM(S47:W47)</f>
        <v>288</v>
      </c>
      <c r="Y47" s="367"/>
      <c r="Z47" s="367"/>
      <c r="AA47" s="367"/>
      <c r="AB47" s="367"/>
      <c r="AC47" s="368">
        <f t="shared" si="4"/>
        <v>288</v>
      </c>
      <c r="AD47" s="368">
        <f t="shared" si="2"/>
        <v>288</v>
      </c>
      <c r="AE47" s="359"/>
      <c r="AF47" s="359"/>
      <c r="AG47" s="359"/>
      <c r="AH47" s="368">
        <f t="shared" si="24"/>
        <v>288</v>
      </c>
    </row>
    <row r="48" spans="1:34" ht="26.25" customHeight="1">
      <c r="A48" s="97">
        <v>3</v>
      </c>
      <c r="B48" s="370" t="s">
        <v>548</v>
      </c>
      <c r="C48" s="344"/>
      <c r="D48" s="344"/>
      <c r="E48" s="344"/>
      <c r="F48" s="344"/>
      <c r="G48" s="344"/>
      <c r="H48" s="344"/>
      <c r="I48" s="344"/>
      <c r="J48" s="344"/>
      <c r="K48" s="344"/>
      <c r="L48" s="344"/>
      <c r="M48" s="344"/>
      <c r="N48" s="344"/>
      <c r="O48" s="344"/>
      <c r="P48" s="344"/>
      <c r="Q48" s="344"/>
      <c r="R48" s="344"/>
      <c r="S48" s="344">
        <f t="shared" si="19"/>
        <v>0</v>
      </c>
      <c r="T48" s="333"/>
      <c r="U48" s="333">
        <v>300</v>
      </c>
      <c r="V48" s="333">
        <f aca="true" t="shared" si="25" ref="V48:AA48">V49</f>
        <v>0</v>
      </c>
      <c r="W48" s="333">
        <f t="shared" si="25"/>
        <v>0</v>
      </c>
      <c r="X48" s="333">
        <f t="shared" si="25"/>
        <v>330</v>
      </c>
      <c r="Y48" s="333">
        <f t="shared" si="25"/>
        <v>30</v>
      </c>
      <c r="Z48" s="333">
        <f t="shared" si="25"/>
        <v>0</v>
      </c>
      <c r="AA48" s="333">
        <f t="shared" si="25"/>
        <v>0</v>
      </c>
      <c r="AB48" s="333"/>
      <c r="AC48" s="330">
        <f t="shared" si="4"/>
        <v>330</v>
      </c>
      <c r="AD48" s="330">
        <f t="shared" si="2"/>
        <v>300</v>
      </c>
      <c r="AE48" s="347"/>
      <c r="AF48" s="347"/>
      <c r="AG48" s="347"/>
      <c r="AH48" s="330">
        <f t="shared" si="24"/>
        <v>300</v>
      </c>
    </row>
    <row r="49" spans="1:34" ht="19.5" customHeight="1">
      <c r="A49" s="97"/>
      <c r="B49" s="343" t="s">
        <v>692</v>
      </c>
      <c r="C49" s="344"/>
      <c r="D49" s="344"/>
      <c r="E49" s="344"/>
      <c r="F49" s="344"/>
      <c r="G49" s="344"/>
      <c r="H49" s="344"/>
      <c r="I49" s="344"/>
      <c r="J49" s="344"/>
      <c r="K49" s="344"/>
      <c r="L49" s="344"/>
      <c r="M49" s="344"/>
      <c r="N49" s="344"/>
      <c r="O49" s="344"/>
      <c r="P49" s="344"/>
      <c r="Q49" s="344"/>
      <c r="R49" s="344"/>
      <c r="S49" s="344">
        <f t="shared" si="19"/>
        <v>0</v>
      </c>
      <c r="T49" s="344"/>
      <c r="U49" s="344">
        <v>330</v>
      </c>
      <c r="V49" s="344"/>
      <c r="W49" s="344"/>
      <c r="X49" s="344">
        <f>SUM(S49:W49)</f>
        <v>330</v>
      </c>
      <c r="Y49" s="344">
        <v>30</v>
      </c>
      <c r="Z49" s="344"/>
      <c r="AA49" s="344"/>
      <c r="AB49" s="344"/>
      <c r="AC49" s="346">
        <f>X49+Z49</f>
        <v>330</v>
      </c>
      <c r="AD49" s="346">
        <f t="shared" si="2"/>
        <v>300</v>
      </c>
      <c r="AE49" s="347"/>
      <c r="AF49" s="347"/>
      <c r="AG49" s="347"/>
      <c r="AH49" s="346">
        <f t="shared" si="24"/>
        <v>300</v>
      </c>
    </row>
    <row r="50" spans="1:34" ht="25.5" customHeight="1">
      <c r="A50" s="97">
        <v>4</v>
      </c>
      <c r="B50" s="348" t="s">
        <v>549</v>
      </c>
      <c r="C50" s="344"/>
      <c r="D50" s="344"/>
      <c r="E50" s="344"/>
      <c r="F50" s="344"/>
      <c r="G50" s="344"/>
      <c r="H50" s="344"/>
      <c r="I50" s="344"/>
      <c r="J50" s="344"/>
      <c r="K50" s="344"/>
      <c r="L50" s="344"/>
      <c r="M50" s="344"/>
      <c r="N50" s="344"/>
      <c r="O50" s="344"/>
      <c r="P50" s="344"/>
      <c r="Q50" s="344"/>
      <c r="R50" s="344"/>
      <c r="S50" s="344">
        <f t="shared" si="19"/>
        <v>0</v>
      </c>
      <c r="T50" s="333"/>
      <c r="U50" s="333">
        <f>U51</f>
        <v>40000</v>
      </c>
      <c r="V50" s="333">
        <f aca="true" t="shared" si="26" ref="V50:AA50">V51</f>
        <v>0</v>
      </c>
      <c r="W50" s="333">
        <f t="shared" si="26"/>
        <v>0</v>
      </c>
      <c r="X50" s="333">
        <f t="shared" si="26"/>
        <v>40000</v>
      </c>
      <c r="Y50" s="333">
        <f t="shared" si="26"/>
        <v>4000</v>
      </c>
      <c r="Z50" s="333">
        <f t="shared" si="26"/>
        <v>0</v>
      </c>
      <c r="AA50" s="333">
        <f t="shared" si="26"/>
        <v>0</v>
      </c>
      <c r="AB50" s="333"/>
      <c r="AC50" s="330">
        <f t="shared" si="4"/>
        <v>40000</v>
      </c>
      <c r="AD50" s="330">
        <f t="shared" si="2"/>
        <v>36000</v>
      </c>
      <c r="AE50" s="347"/>
      <c r="AF50" s="347"/>
      <c r="AG50" s="347"/>
      <c r="AH50" s="330">
        <f t="shared" si="24"/>
        <v>36000</v>
      </c>
    </row>
    <row r="51" spans="1:34" ht="19.5" customHeight="1">
      <c r="A51" s="97"/>
      <c r="B51" s="343" t="s">
        <v>693</v>
      </c>
      <c r="C51" s="344"/>
      <c r="D51" s="344"/>
      <c r="E51" s="344"/>
      <c r="F51" s="344"/>
      <c r="G51" s="344"/>
      <c r="H51" s="344"/>
      <c r="I51" s="344"/>
      <c r="J51" s="344"/>
      <c r="K51" s="344"/>
      <c r="L51" s="344"/>
      <c r="M51" s="344"/>
      <c r="N51" s="344"/>
      <c r="O51" s="344"/>
      <c r="P51" s="344"/>
      <c r="Q51" s="344"/>
      <c r="R51" s="344"/>
      <c r="S51" s="344">
        <f t="shared" si="19"/>
        <v>0</v>
      </c>
      <c r="T51" s="344"/>
      <c r="U51" s="344">
        <v>40000</v>
      </c>
      <c r="V51" s="344"/>
      <c r="W51" s="344"/>
      <c r="X51" s="344">
        <f>SUM(S51:W51)</f>
        <v>40000</v>
      </c>
      <c r="Y51" s="344">
        <f>U51*10%</f>
        <v>4000</v>
      </c>
      <c r="Z51" s="344"/>
      <c r="AA51" s="344"/>
      <c r="AB51" s="344"/>
      <c r="AC51" s="346">
        <f>X51+Z51</f>
        <v>40000</v>
      </c>
      <c r="AD51" s="346">
        <f t="shared" si="2"/>
        <v>36000</v>
      </c>
      <c r="AE51" s="347"/>
      <c r="AF51" s="347"/>
      <c r="AG51" s="347"/>
      <c r="AH51" s="346">
        <f t="shared" si="24"/>
        <v>36000</v>
      </c>
    </row>
    <row r="52" spans="1:34" ht="19.5" customHeight="1">
      <c r="A52" s="97">
        <v>5</v>
      </c>
      <c r="B52" s="348" t="s">
        <v>550</v>
      </c>
      <c r="C52" s="344"/>
      <c r="D52" s="344"/>
      <c r="E52" s="344"/>
      <c r="F52" s="344"/>
      <c r="G52" s="344"/>
      <c r="H52" s="344"/>
      <c r="I52" s="344"/>
      <c r="J52" s="344"/>
      <c r="K52" s="344"/>
      <c r="L52" s="344"/>
      <c r="M52" s="344"/>
      <c r="N52" s="344"/>
      <c r="O52" s="344"/>
      <c r="P52" s="344"/>
      <c r="Q52" s="344"/>
      <c r="R52" s="344"/>
      <c r="S52" s="344">
        <f t="shared" si="19"/>
        <v>0</v>
      </c>
      <c r="T52" s="333"/>
      <c r="U52" s="333">
        <v>1000</v>
      </c>
      <c r="V52" s="333">
        <f aca="true" t="shared" si="27" ref="V52:AA52">V53</f>
        <v>0</v>
      </c>
      <c r="W52" s="333">
        <f t="shared" si="27"/>
        <v>0</v>
      </c>
      <c r="X52" s="333">
        <f t="shared" si="27"/>
        <v>1100</v>
      </c>
      <c r="Y52" s="333">
        <f t="shared" si="27"/>
        <v>100</v>
      </c>
      <c r="Z52" s="333">
        <f t="shared" si="27"/>
        <v>0</v>
      </c>
      <c r="AA52" s="333">
        <f t="shared" si="27"/>
        <v>0</v>
      </c>
      <c r="AB52" s="333"/>
      <c r="AC52" s="330">
        <f t="shared" si="4"/>
        <v>1100</v>
      </c>
      <c r="AD52" s="330">
        <f t="shared" si="2"/>
        <v>1000</v>
      </c>
      <c r="AE52" s="347"/>
      <c r="AF52" s="347"/>
      <c r="AG52" s="347"/>
      <c r="AH52" s="330">
        <f t="shared" si="24"/>
        <v>1000</v>
      </c>
    </row>
    <row r="53" spans="1:34" ht="28.5" customHeight="1">
      <c r="A53" s="97"/>
      <c r="B53" s="343" t="s">
        <v>694</v>
      </c>
      <c r="C53" s="344"/>
      <c r="D53" s="344"/>
      <c r="E53" s="344"/>
      <c r="F53" s="344"/>
      <c r="G53" s="344"/>
      <c r="H53" s="344"/>
      <c r="I53" s="344"/>
      <c r="J53" s="344"/>
      <c r="K53" s="344"/>
      <c r="L53" s="344"/>
      <c r="M53" s="344"/>
      <c r="N53" s="344"/>
      <c r="O53" s="344"/>
      <c r="P53" s="344"/>
      <c r="Q53" s="344"/>
      <c r="R53" s="344"/>
      <c r="S53" s="344">
        <f t="shared" si="19"/>
        <v>0</v>
      </c>
      <c r="T53" s="344"/>
      <c r="U53" s="344">
        <v>1100</v>
      </c>
      <c r="V53" s="344"/>
      <c r="W53" s="344"/>
      <c r="X53" s="344">
        <f>SUM(S53:W53)</f>
        <v>1100</v>
      </c>
      <c r="Y53" s="344">
        <v>100</v>
      </c>
      <c r="Z53" s="344"/>
      <c r="AA53" s="344"/>
      <c r="AB53" s="344"/>
      <c r="AC53" s="346">
        <f>X53+Z53</f>
        <v>1100</v>
      </c>
      <c r="AD53" s="346">
        <f t="shared" si="2"/>
        <v>1000</v>
      </c>
      <c r="AE53" s="347"/>
      <c r="AF53" s="347"/>
      <c r="AG53" s="347"/>
      <c r="AH53" s="346">
        <f t="shared" si="24"/>
        <v>1000</v>
      </c>
    </row>
    <row r="54" spans="1:34" ht="27.75" customHeight="1">
      <c r="A54" s="97">
        <v>6</v>
      </c>
      <c r="B54" s="348" t="s">
        <v>551</v>
      </c>
      <c r="C54" s="344"/>
      <c r="D54" s="344"/>
      <c r="E54" s="344"/>
      <c r="F54" s="344"/>
      <c r="G54" s="344"/>
      <c r="H54" s="344"/>
      <c r="I54" s="344"/>
      <c r="J54" s="344"/>
      <c r="K54" s="344"/>
      <c r="L54" s="344"/>
      <c r="M54" s="344"/>
      <c r="N54" s="344"/>
      <c r="O54" s="344"/>
      <c r="P54" s="344"/>
      <c r="Q54" s="344"/>
      <c r="R54" s="344"/>
      <c r="S54" s="344">
        <f t="shared" si="19"/>
        <v>0</v>
      </c>
      <c r="T54" s="333"/>
      <c r="U54" s="333">
        <f>U55</f>
        <v>110</v>
      </c>
      <c r="V54" s="333"/>
      <c r="W54" s="333"/>
      <c r="X54" s="333">
        <f>X55</f>
        <v>110</v>
      </c>
      <c r="Y54" s="333">
        <f>Y55</f>
        <v>10</v>
      </c>
      <c r="Z54" s="333">
        <f>Z55</f>
        <v>0</v>
      </c>
      <c r="AA54" s="333">
        <f>AA55</f>
        <v>0</v>
      </c>
      <c r="AB54" s="333"/>
      <c r="AC54" s="330">
        <f t="shared" si="4"/>
        <v>110</v>
      </c>
      <c r="AD54" s="330">
        <f t="shared" si="2"/>
        <v>100</v>
      </c>
      <c r="AE54" s="347"/>
      <c r="AF54" s="347"/>
      <c r="AG54" s="347"/>
      <c r="AH54" s="330">
        <f t="shared" si="24"/>
        <v>100</v>
      </c>
    </row>
    <row r="55" spans="1:34" ht="30" customHeight="1">
      <c r="A55" s="97"/>
      <c r="B55" s="343" t="s">
        <v>692</v>
      </c>
      <c r="C55" s="344"/>
      <c r="D55" s="344"/>
      <c r="E55" s="344"/>
      <c r="F55" s="344"/>
      <c r="G55" s="344"/>
      <c r="H55" s="344"/>
      <c r="I55" s="344"/>
      <c r="J55" s="344"/>
      <c r="K55" s="344"/>
      <c r="L55" s="344"/>
      <c r="M55" s="344"/>
      <c r="N55" s="344"/>
      <c r="O55" s="344"/>
      <c r="P55" s="344"/>
      <c r="Q55" s="344"/>
      <c r="R55" s="344"/>
      <c r="S55" s="344">
        <f t="shared" si="19"/>
        <v>0</v>
      </c>
      <c r="T55" s="344"/>
      <c r="U55" s="344">
        <v>110</v>
      </c>
      <c r="V55" s="344"/>
      <c r="W55" s="344"/>
      <c r="X55" s="344">
        <f>SUM(S55:W55)</f>
        <v>110</v>
      </c>
      <c r="Y55" s="344">
        <v>10</v>
      </c>
      <c r="Z55" s="344"/>
      <c r="AA55" s="344"/>
      <c r="AB55" s="344"/>
      <c r="AC55" s="346">
        <f>X55+Z55</f>
        <v>110</v>
      </c>
      <c r="AD55" s="346">
        <f t="shared" si="2"/>
        <v>100</v>
      </c>
      <c r="AE55" s="347"/>
      <c r="AF55" s="347"/>
      <c r="AG55" s="347"/>
      <c r="AH55" s="346">
        <f t="shared" si="24"/>
        <v>100</v>
      </c>
    </row>
    <row r="56" spans="1:34" s="369" customFormat="1" ht="19.5" customHeight="1">
      <c r="A56" s="891">
        <v>7</v>
      </c>
      <c r="B56" s="350" t="s">
        <v>552</v>
      </c>
      <c r="C56" s="367"/>
      <c r="D56" s="367"/>
      <c r="E56" s="367"/>
      <c r="F56" s="367"/>
      <c r="G56" s="367"/>
      <c r="H56" s="367"/>
      <c r="I56" s="367"/>
      <c r="J56" s="367"/>
      <c r="K56" s="367"/>
      <c r="L56" s="367"/>
      <c r="M56" s="367"/>
      <c r="N56" s="367"/>
      <c r="O56" s="367"/>
      <c r="P56" s="367"/>
      <c r="Q56" s="367"/>
      <c r="R56" s="367"/>
      <c r="S56" s="367">
        <f t="shared" si="19"/>
        <v>0</v>
      </c>
      <c r="T56" s="367"/>
      <c r="U56" s="371">
        <f>4475</f>
        <v>4475</v>
      </c>
      <c r="V56" s="371"/>
      <c r="W56" s="371"/>
      <c r="X56" s="371">
        <f>SUM(S56:W56)</f>
        <v>4475</v>
      </c>
      <c r="Y56" s="371">
        <f>U56*10%</f>
        <v>447.5</v>
      </c>
      <c r="Z56" s="371"/>
      <c r="AA56" s="371"/>
      <c r="AB56" s="371"/>
      <c r="AC56" s="654">
        <f t="shared" si="4"/>
        <v>4475</v>
      </c>
      <c r="AD56" s="654">
        <f>AC56-Y56-1</f>
        <v>4026.5</v>
      </c>
      <c r="AE56" s="359"/>
      <c r="AF56" s="359"/>
      <c r="AG56" s="359"/>
      <c r="AH56" s="654">
        <f t="shared" si="24"/>
        <v>4026.5</v>
      </c>
    </row>
    <row r="57" spans="1:34" ht="9.75" customHeight="1" hidden="1">
      <c r="A57" s="97"/>
      <c r="B57" s="343"/>
      <c r="C57" s="344"/>
      <c r="D57" s="344"/>
      <c r="E57" s="344"/>
      <c r="F57" s="344"/>
      <c r="G57" s="344"/>
      <c r="H57" s="344"/>
      <c r="I57" s="344"/>
      <c r="J57" s="344"/>
      <c r="K57" s="344"/>
      <c r="L57" s="344"/>
      <c r="M57" s="344"/>
      <c r="N57" s="344"/>
      <c r="O57" s="344"/>
      <c r="P57" s="344"/>
      <c r="Q57" s="344"/>
      <c r="R57" s="344"/>
      <c r="S57" s="344">
        <f t="shared" si="19"/>
        <v>0</v>
      </c>
      <c r="T57" s="344"/>
      <c r="U57" s="344"/>
      <c r="V57" s="344"/>
      <c r="W57" s="344"/>
      <c r="X57" s="344">
        <f>SUM(S57:W57)</f>
        <v>0</v>
      </c>
      <c r="Y57" s="344">
        <f>T57*10%</f>
        <v>0</v>
      </c>
      <c r="Z57" s="344"/>
      <c r="AA57" s="344"/>
      <c r="AB57" s="344"/>
      <c r="AC57" s="330">
        <f t="shared" si="4"/>
        <v>0</v>
      </c>
      <c r="AD57" s="330">
        <f t="shared" si="2"/>
        <v>0</v>
      </c>
      <c r="AE57" s="347"/>
      <c r="AF57" s="347"/>
      <c r="AG57" s="347"/>
      <c r="AH57" s="330">
        <f t="shared" si="24"/>
        <v>0</v>
      </c>
    </row>
    <row r="58" spans="1:34" ht="24.75" customHeight="1">
      <c r="A58" s="97" t="s">
        <v>297</v>
      </c>
      <c r="B58" s="348" t="s">
        <v>43</v>
      </c>
      <c r="C58" s="344"/>
      <c r="D58" s="344"/>
      <c r="E58" s="344"/>
      <c r="F58" s="344"/>
      <c r="G58" s="344"/>
      <c r="H58" s="344"/>
      <c r="I58" s="344"/>
      <c r="J58" s="344"/>
      <c r="K58" s="344"/>
      <c r="L58" s="344"/>
      <c r="M58" s="344"/>
      <c r="N58" s="344"/>
      <c r="O58" s="344"/>
      <c r="P58" s="344"/>
      <c r="Q58" s="344"/>
      <c r="R58" s="344"/>
      <c r="S58" s="344">
        <f t="shared" si="19"/>
        <v>0</v>
      </c>
      <c r="T58" s="333"/>
      <c r="U58" s="333">
        <f>SUM(U59:U60)</f>
        <v>33568</v>
      </c>
      <c r="V58" s="333">
        <f aca="true" t="shared" si="28" ref="V58:AH58">SUM(V59:V60)</f>
        <v>0</v>
      </c>
      <c r="W58" s="333">
        <f t="shared" si="28"/>
        <v>0</v>
      </c>
      <c r="X58" s="333">
        <f t="shared" si="28"/>
        <v>33568</v>
      </c>
      <c r="Y58" s="333">
        <f t="shared" si="28"/>
        <v>0</v>
      </c>
      <c r="Z58" s="333">
        <f t="shared" si="28"/>
        <v>0</v>
      </c>
      <c r="AA58" s="333">
        <f t="shared" si="28"/>
        <v>0</v>
      </c>
      <c r="AB58" s="333">
        <f t="shared" si="28"/>
        <v>0</v>
      </c>
      <c r="AC58" s="333">
        <f t="shared" si="28"/>
        <v>33568</v>
      </c>
      <c r="AD58" s="333">
        <f t="shared" si="28"/>
        <v>33568</v>
      </c>
      <c r="AE58" s="333">
        <f t="shared" si="28"/>
        <v>0</v>
      </c>
      <c r="AF58" s="333">
        <f t="shared" si="28"/>
        <v>0</v>
      </c>
      <c r="AG58" s="333">
        <f t="shared" si="28"/>
        <v>0</v>
      </c>
      <c r="AH58" s="333">
        <f t="shared" si="28"/>
        <v>33568</v>
      </c>
    </row>
    <row r="59" spans="1:34" ht="27" customHeight="1">
      <c r="A59" s="97"/>
      <c r="B59" s="343" t="s">
        <v>26</v>
      </c>
      <c r="C59" s="344"/>
      <c r="D59" s="344"/>
      <c r="E59" s="344"/>
      <c r="F59" s="344"/>
      <c r="G59" s="344"/>
      <c r="H59" s="344"/>
      <c r="I59" s="344"/>
      <c r="J59" s="344"/>
      <c r="K59" s="344"/>
      <c r="L59" s="344"/>
      <c r="M59" s="344"/>
      <c r="N59" s="344"/>
      <c r="O59" s="344"/>
      <c r="P59" s="344"/>
      <c r="Q59" s="344"/>
      <c r="R59" s="344"/>
      <c r="S59" s="344">
        <f t="shared" si="19"/>
        <v>0</v>
      </c>
      <c r="T59" s="675"/>
      <c r="U59" s="675">
        <v>33568</v>
      </c>
      <c r="V59" s="344"/>
      <c r="W59" s="344"/>
      <c r="X59" s="344">
        <f>SUM(S59:W59)</f>
        <v>33568</v>
      </c>
      <c r="Y59" s="344">
        <v>0</v>
      </c>
      <c r="Z59" s="344"/>
      <c r="AA59" s="344"/>
      <c r="AB59" s="344"/>
      <c r="AC59" s="346">
        <f>X59+Z59</f>
        <v>33568</v>
      </c>
      <c r="AD59" s="346">
        <f t="shared" si="2"/>
        <v>33568</v>
      </c>
      <c r="AE59" s="347"/>
      <c r="AF59" s="347"/>
      <c r="AG59" s="347"/>
      <c r="AH59" s="346">
        <f aca="true" t="shared" si="29" ref="AH59:AH72">AD59+AF59</f>
        <v>33568</v>
      </c>
    </row>
    <row r="60" spans="1:34" ht="19.5" customHeight="1" hidden="1">
      <c r="A60" s="97"/>
      <c r="B60" s="325" t="s">
        <v>704</v>
      </c>
      <c r="C60" s="344"/>
      <c r="D60" s="344"/>
      <c r="E60" s="344"/>
      <c r="F60" s="344"/>
      <c r="G60" s="344"/>
      <c r="H60" s="344"/>
      <c r="I60" s="344"/>
      <c r="J60" s="344"/>
      <c r="K60" s="344"/>
      <c r="L60" s="344"/>
      <c r="M60" s="344"/>
      <c r="N60" s="344"/>
      <c r="O60" s="344"/>
      <c r="P60" s="344"/>
      <c r="Q60" s="344"/>
      <c r="R60" s="344"/>
      <c r="S60" s="344">
        <f t="shared" si="19"/>
        <v>0</v>
      </c>
      <c r="T60" s="344"/>
      <c r="U60" s="344"/>
      <c r="V60" s="344"/>
      <c r="W60" s="344"/>
      <c r="X60" s="344">
        <f>SUM(S60:W60)</f>
        <v>0</v>
      </c>
      <c r="Y60" s="344"/>
      <c r="Z60" s="344"/>
      <c r="AA60" s="344"/>
      <c r="AB60" s="344"/>
      <c r="AC60" s="346">
        <f t="shared" si="4"/>
        <v>0</v>
      </c>
      <c r="AD60" s="346">
        <f t="shared" si="2"/>
        <v>0</v>
      </c>
      <c r="AE60" s="347"/>
      <c r="AF60" s="347"/>
      <c r="AG60" s="347"/>
      <c r="AH60" s="346">
        <f t="shared" si="29"/>
        <v>0</v>
      </c>
    </row>
    <row r="61" spans="1:35" ht="19.5" customHeight="1" hidden="1">
      <c r="A61" s="97"/>
      <c r="B61" s="676" t="s">
        <v>815</v>
      </c>
      <c r="C61" s="344"/>
      <c r="D61" s="344"/>
      <c r="E61" s="344"/>
      <c r="F61" s="344"/>
      <c r="G61" s="344"/>
      <c r="H61" s="344"/>
      <c r="I61" s="344"/>
      <c r="J61" s="344"/>
      <c r="K61" s="344"/>
      <c r="L61" s="344"/>
      <c r="M61" s="344"/>
      <c r="N61" s="344"/>
      <c r="O61" s="344"/>
      <c r="P61" s="344"/>
      <c r="Q61" s="344"/>
      <c r="R61" s="344"/>
      <c r="S61" s="344"/>
      <c r="T61" s="344"/>
      <c r="U61" s="344">
        <v>0</v>
      </c>
      <c r="V61" s="344"/>
      <c r="W61" s="344"/>
      <c r="X61" s="344">
        <f>SUM(S61:W61)</f>
        <v>0</v>
      </c>
      <c r="Y61" s="344"/>
      <c r="Z61" s="344"/>
      <c r="AA61" s="344"/>
      <c r="AB61" s="344"/>
      <c r="AC61" s="346">
        <f t="shared" si="4"/>
        <v>0</v>
      </c>
      <c r="AD61" s="346">
        <f t="shared" si="2"/>
        <v>0</v>
      </c>
      <c r="AE61" s="347"/>
      <c r="AF61" s="347"/>
      <c r="AG61" s="347"/>
      <c r="AH61" s="346">
        <f t="shared" si="29"/>
        <v>0</v>
      </c>
      <c r="AI61" s="677">
        <v>1146</v>
      </c>
    </row>
    <row r="62" spans="1:35" ht="30" customHeight="1">
      <c r="A62" s="97" t="s">
        <v>298</v>
      </c>
      <c r="B62" s="348" t="s">
        <v>553</v>
      </c>
      <c r="C62" s="344"/>
      <c r="D62" s="344"/>
      <c r="E62" s="344"/>
      <c r="F62" s="344"/>
      <c r="G62" s="344"/>
      <c r="H62" s="344"/>
      <c r="I62" s="344"/>
      <c r="J62" s="344"/>
      <c r="K62" s="344"/>
      <c r="L62" s="344"/>
      <c r="M62" s="344"/>
      <c r="N62" s="344"/>
      <c r="O62" s="344"/>
      <c r="P62" s="344"/>
      <c r="Q62" s="344"/>
      <c r="R62" s="344"/>
      <c r="S62" s="333">
        <f>S63+S64</f>
        <v>0</v>
      </c>
      <c r="T62" s="333"/>
      <c r="U62" s="333">
        <f>U63+U64</f>
        <v>40728</v>
      </c>
      <c r="V62" s="333">
        <f aca="true" t="shared" si="30" ref="V62:AA62">V63+V64</f>
        <v>0</v>
      </c>
      <c r="W62" s="333">
        <f t="shared" si="30"/>
        <v>0</v>
      </c>
      <c r="X62" s="333">
        <f t="shared" si="30"/>
        <v>40728</v>
      </c>
      <c r="Y62" s="333">
        <f t="shared" si="30"/>
        <v>186</v>
      </c>
      <c r="Z62" s="333">
        <f t="shared" si="30"/>
        <v>0</v>
      </c>
      <c r="AA62" s="333">
        <f t="shared" si="30"/>
        <v>0</v>
      </c>
      <c r="AB62" s="333"/>
      <c r="AC62" s="330">
        <f t="shared" si="4"/>
        <v>40728</v>
      </c>
      <c r="AD62" s="330">
        <f t="shared" si="2"/>
        <v>40542</v>
      </c>
      <c r="AE62" s="347"/>
      <c r="AF62" s="347"/>
      <c r="AG62" s="347"/>
      <c r="AH62" s="330">
        <f t="shared" si="29"/>
        <v>40542</v>
      </c>
      <c r="AI62" s="677">
        <v>1096</v>
      </c>
    </row>
    <row r="63" spans="1:34" ht="30.75" customHeight="1">
      <c r="A63" s="97"/>
      <c r="B63" s="343" t="s">
        <v>554</v>
      </c>
      <c r="C63" s="344"/>
      <c r="D63" s="344"/>
      <c r="E63" s="344"/>
      <c r="F63" s="344"/>
      <c r="G63" s="344"/>
      <c r="H63" s="344"/>
      <c r="I63" s="344"/>
      <c r="J63" s="344"/>
      <c r="K63" s="344"/>
      <c r="L63" s="344"/>
      <c r="M63" s="344"/>
      <c r="N63" s="344"/>
      <c r="O63" s="344"/>
      <c r="P63" s="344"/>
      <c r="Q63" s="344"/>
      <c r="R63" s="344"/>
      <c r="S63" s="344">
        <f t="shared" si="19"/>
        <v>0</v>
      </c>
      <c r="T63" s="344"/>
      <c r="U63" s="344">
        <v>38871</v>
      </c>
      <c r="V63" s="344"/>
      <c r="W63" s="344"/>
      <c r="X63" s="344">
        <f>SUM(S63:W63)</f>
        <v>38871</v>
      </c>
      <c r="Y63" s="344">
        <v>0</v>
      </c>
      <c r="Z63" s="344"/>
      <c r="AA63" s="344"/>
      <c r="AB63" s="344"/>
      <c r="AC63" s="346">
        <f t="shared" si="4"/>
        <v>38871</v>
      </c>
      <c r="AD63" s="346">
        <f t="shared" si="2"/>
        <v>38871</v>
      </c>
      <c r="AE63" s="347"/>
      <c r="AF63" s="347"/>
      <c r="AG63" s="347"/>
      <c r="AH63" s="346">
        <f t="shared" si="29"/>
        <v>38871</v>
      </c>
    </row>
    <row r="64" spans="1:34" ht="42" customHeight="1">
      <c r="A64" s="97"/>
      <c r="B64" s="343" t="s">
        <v>850</v>
      </c>
      <c r="C64" s="344"/>
      <c r="D64" s="344"/>
      <c r="E64" s="344"/>
      <c r="F64" s="344"/>
      <c r="G64" s="344"/>
      <c r="H64" s="344"/>
      <c r="I64" s="344"/>
      <c r="J64" s="344"/>
      <c r="K64" s="344"/>
      <c r="L64" s="344"/>
      <c r="M64" s="344"/>
      <c r="N64" s="344"/>
      <c r="O64" s="344"/>
      <c r="P64" s="344"/>
      <c r="Q64" s="344"/>
      <c r="R64" s="344"/>
      <c r="S64" s="344">
        <f t="shared" si="19"/>
        <v>0</v>
      </c>
      <c r="T64" s="344"/>
      <c r="U64" s="344">
        <v>1857</v>
      </c>
      <c r="V64" s="344"/>
      <c r="W64" s="344"/>
      <c r="X64" s="344">
        <f>SUM(S64:W64)</f>
        <v>1857</v>
      </c>
      <c r="Y64" s="344">
        <f>186</f>
        <v>186</v>
      </c>
      <c r="Z64" s="344"/>
      <c r="AA64" s="344"/>
      <c r="AB64" s="344"/>
      <c r="AC64" s="346">
        <f t="shared" si="4"/>
        <v>1857</v>
      </c>
      <c r="AD64" s="346">
        <f t="shared" si="2"/>
        <v>1671</v>
      </c>
      <c r="AE64" s="347"/>
      <c r="AF64" s="347"/>
      <c r="AG64" s="347"/>
      <c r="AH64" s="346">
        <f t="shared" si="29"/>
        <v>1671</v>
      </c>
    </row>
    <row r="65" spans="1:34" ht="30.75" customHeight="1">
      <c r="A65" s="97" t="s">
        <v>405</v>
      </c>
      <c r="B65" s="348" t="s">
        <v>841</v>
      </c>
      <c r="C65" s="344"/>
      <c r="D65" s="344"/>
      <c r="E65" s="344"/>
      <c r="F65" s="344"/>
      <c r="G65" s="344"/>
      <c r="H65" s="344"/>
      <c r="I65" s="344"/>
      <c r="J65" s="344"/>
      <c r="K65" s="344"/>
      <c r="L65" s="344"/>
      <c r="M65" s="344"/>
      <c r="N65" s="344"/>
      <c r="O65" s="344"/>
      <c r="P65" s="344"/>
      <c r="Q65" s="344"/>
      <c r="R65" s="344"/>
      <c r="S65" s="344">
        <f t="shared" si="19"/>
        <v>0</v>
      </c>
      <c r="T65" s="333"/>
      <c r="U65" s="333">
        <v>5000</v>
      </c>
      <c r="V65" s="333"/>
      <c r="W65" s="333"/>
      <c r="X65" s="333">
        <f>SUM(S65:W65)</f>
        <v>5000</v>
      </c>
      <c r="Y65" s="333"/>
      <c r="Z65" s="333"/>
      <c r="AA65" s="333"/>
      <c r="AB65" s="333"/>
      <c r="AC65" s="330">
        <f t="shared" si="4"/>
        <v>5000</v>
      </c>
      <c r="AD65" s="330">
        <f t="shared" si="2"/>
        <v>5000</v>
      </c>
      <c r="AE65" s="347"/>
      <c r="AF65" s="347"/>
      <c r="AG65" s="347"/>
      <c r="AH65" s="330">
        <f t="shared" si="29"/>
        <v>5000</v>
      </c>
    </row>
    <row r="66" spans="1:34" ht="25.5" customHeight="1">
      <c r="A66" s="97" t="s">
        <v>445</v>
      </c>
      <c r="B66" s="348" t="s">
        <v>555</v>
      </c>
      <c r="C66" s="344"/>
      <c r="D66" s="344"/>
      <c r="E66" s="344"/>
      <c r="F66" s="344"/>
      <c r="G66" s="344"/>
      <c r="H66" s="344"/>
      <c r="I66" s="344"/>
      <c r="J66" s="344"/>
      <c r="K66" s="344"/>
      <c r="L66" s="344"/>
      <c r="M66" s="344"/>
      <c r="N66" s="344"/>
      <c r="O66" s="344"/>
      <c r="P66" s="344"/>
      <c r="Q66" s="344"/>
      <c r="R66" s="344"/>
      <c r="S66" s="333">
        <f>S67</f>
        <v>0</v>
      </c>
      <c r="T66" s="333">
        <f aca="true" t="shared" si="31" ref="T66:AA66">T67</f>
        <v>0</v>
      </c>
      <c r="U66" s="333">
        <f t="shared" si="31"/>
        <v>1703</v>
      </c>
      <c r="V66" s="333">
        <f t="shared" si="31"/>
        <v>0</v>
      </c>
      <c r="W66" s="333">
        <f t="shared" si="31"/>
        <v>0</v>
      </c>
      <c r="X66" s="333">
        <f t="shared" si="31"/>
        <v>1703</v>
      </c>
      <c r="Y66" s="333">
        <f t="shared" si="31"/>
        <v>170.3</v>
      </c>
      <c r="Z66" s="333">
        <f t="shared" si="31"/>
        <v>0</v>
      </c>
      <c r="AA66" s="333">
        <f t="shared" si="31"/>
        <v>0</v>
      </c>
      <c r="AB66" s="333"/>
      <c r="AC66" s="330">
        <f t="shared" si="4"/>
        <v>1703</v>
      </c>
      <c r="AD66" s="330">
        <f t="shared" si="2"/>
        <v>1532.7</v>
      </c>
      <c r="AE66" s="347"/>
      <c r="AF66" s="347"/>
      <c r="AG66" s="347"/>
      <c r="AH66" s="330">
        <f t="shared" si="29"/>
        <v>1532.7</v>
      </c>
    </row>
    <row r="67" spans="1:34" ht="45.75" customHeight="1">
      <c r="A67" s="97"/>
      <c r="B67" s="361" t="s">
        <v>852</v>
      </c>
      <c r="C67" s="344"/>
      <c r="D67" s="344"/>
      <c r="E67" s="344"/>
      <c r="F67" s="344"/>
      <c r="G67" s="344"/>
      <c r="H67" s="344"/>
      <c r="I67" s="344"/>
      <c r="J67" s="344"/>
      <c r="K67" s="344"/>
      <c r="L67" s="344"/>
      <c r="M67" s="344"/>
      <c r="N67" s="344"/>
      <c r="O67" s="344"/>
      <c r="P67" s="344"/>
      <c r="Q67" s="344"/>
      <c r="R67" s="344"/>
      <c r="S67" s="344">
        <f t="shared" si="19"/>
        <v>0</v>
      </c>
      <c r="T67" s="344"/>
      <c r="U67" s="344">
        <v>1703</v>
      </c>
      <c r="V67" s="344"/>
      <c r="W67" s="344"/>
      <c r="X67" s="344">
        <f>SUM(S67:W67)</f>
        <v>1703</v>
      </c>
      <c r="Y67" s="344">
        <f>U67*10%</f>
        <v>170.3</v>
      </c>
      <c r="Z67" s="344"/>
      <c r="AA67" s="344"/>
      <c r="AB67" s="344"/>
      <c r="AC67" s="346">
        <f>X67+Z67</f>
        <v>1703</v>
      </c>
      <c r="AD67" s="346">
        <f t="shared" si="2"/>
        <v>1532.7</v>
      </c>
      <c r="AE67" s="347"/>
      <c r="AF67" s="347"/>
      <c r="AG67" s="347"/>
      <c r="AH67" s="346">
        <f t="shared" si="29"/>
        <v>1532.7</v>
      </c>
    </row>
    <row r="68" spans="1:34" ht="26.25" customHeight="1">
      <c r="A68" s="97" t="s">
        <v>556</v>
      </c>
      <c r="B68" s="348" t="s">
        <v>557</v>
      </c>
      <c r="C68" s="344"/>
      <c r="D68" s="344"/>
      <c r="E68" s="344"/>
      <c r="F68" s="344"/>
      <c r="G68" s="344"/>
      <c r="H68" s="344"/>
      <c r="I68" s="344"/>
      <c r="J68" s="344"/>
      <c r="K68" s="344"/>
      <c r="L68" s="344"/>
      <c r="M68" s="344"/>
      <c r="N68" s="344"/>
      <c r="O68" s="344"/>
      <c r="P68" s="344"/>
      <c r="Q68" s="344"/>
      <c r="R68" s="344"/>
      <c r="S68" s="333">
        <f>S69+S70</f>
        <v>0</v>
      </c>
      <c r="T68" s="333"/>
      <c r="U68" s="333">
        <f aca="true" t="shared" si="32" ref="U68:AA68">U69+U70</f>
        <v>10061</v>
      </c>
      <c r="V68" s="333">
        <f t="shared" si="32"/>
        <v>0</v>
      </c>
      <c r="W68" s="333">
        <f t="shared" si="32"/>
        <v>0</v>
      </c>
      <c r="X68" s="333">
        <f t="shared" si="32"/>
        <v>10061</v>
      </c>
      <c r="Y68" s="333">
        <f t="shared" si="32"/>
        <v>1006.1</v>
      </c>
      <c r="Z68" s="333">
        <f t="shared" si="32"/>
        <v>0</v>
      </c>
      <c r="AA68" s="333">
        <f t="shared" si="32"/>
        <v>0</v>
      </c>
      <c r="AB68" s="333"/>
      <c r="AC68" s="330">
        <f t="shared" si="4"/>
        <v>10061</v>
      </c>
      <c r="AD68" s="330">
        <f t="shared" si="2"/>
        <v>9054.9</v>
      </c>
      <c r="AE68" s="347"/>
      <c r="AF68" s="347"/>
      <c r="AG68" s="347"/>
      <c r="AH68" s="330">
        <f t="shared" si="29"/>
        <v>9054.9</v>
      </c>
    </row>
    <row r="69" spans="1:34" ht="45" customHeight="1">
      <c r="A69" s="97"/>
      <c r="B69" s="361" t="s">
        <v>851</v>
      </c>
      <c r="C69" s="344"/>
      <c r="D69" s="344"/>
      <c r="E69" s="344"/>
      <c r="F69" s="344"/>
      <c r="G69" s="344"/>
      <c r="H69" s="344"/>
      <c r="I69" s="344"/>
      <c r="J69" s="344"/>
      <c r="K69" s="344"/>
      <c r="L69" s="344"/>
      <c r="M69" s="344"/>
      <c r="N69" s="344"/>
      <c r="O69" s="344"/>
      <c r="P69" s="344"/>
      <c r="Q69" s="344"/>
      <c r="R69" s="344"/>
      <c r="S69" s="344">
        <f t="shared" si="19"/>
        <v>0</v>
      </c>
      <c r="T69" s="344"/>
      <c r="U69" s="344">
        <v>10061</v>
      </c>
      <c r="V69" s="344"/>
      <c r="W69" s="344"/>
      <c r="X69" s="344">
        <f>SUM(S69:W69)</f>
        <v>10061</v>
      </c>
      <c r="Y69" s="344">
        <f>U69*10%</f>
        <v>1006.1</v>
      </c>
      <c r="Z69" s="344"/>
      <c r="AA69" s="344"/>
      <c r="AB69" s="344"/>
      <c r="AC69" s="346">
        <f t="shared" si="4"/>
        <v>10061</v>
      </c>
      <c r="AD69" s="346">
        <f t="shared" si="2"/>
        <v>9054.9</v>
      </c>
      <c r="AE69" s="347"/>
      <c r="AF69" s="347"/>
      <c r="AG69" s="347"/>
      <c r="AH69" s="346">
        <f t="shared" si="29"/>
        <v>9054.9</v>
      </c>
    </row>
    <row r="70" spans="1:34" s="369" customFormat="1" ht="36" customHeight="1" hidden="1">
      <c r="A70" s="891"/>
      <c r="B70" s="361" t="s">
        <v>558</v>
      </c>
      <c r="C70" s="367"/>
      <c r="D70" s="367"/>
      <c r="E70" s="367"/>
      <c r="F70" s="367"/>
      <c r="G70" s="367"/>
      <c r="H70" s="367"/>
      <c r="I70" s="367"/>
      <c r="J70" s="367"/>
      <c r="K70" s="367"/>
      <c r="L70" s="367"/>
      <c r="M70" s="367"/>
      <c r="N70" s="367"/>
      <c r="O70" s="367"/>
      <c r="P70" s="367"/>
      <c r="Q70" s="367"/>
      <c r="R70" s="367"/>
      <c r="S70" s="367">
        <f t="shared" si="19"/>
        <v>0</v>
      </c>
      <c r="T70" s="367"/>
      <c r="U70" s="367"/>
      <c r="V70" s="367"/>
      <c r="W70" s="367"/>
      <c r="X70" s="367">
        <f>SUM(S70:W70)</f>
        <v>0</v>
      </c>
      <c r="Y70" s="367">
        <f>T70*10%</f>
        <v>0</v>
      </c>
      <c r="Z70" s="367"/>
      <c r="AA70" s="367"/>
      <c r="AB70" s="367"/>
      <c r="AC70" s="368">
        <f t="shared" si="4"/>
        <v>0</v>
      </c>
      <c r="AD70" s="368">
        <f t="shared" si="2"/>
        <v>0</v>
      </c>
      <c r="AE70" s="359"/>
      <c r="AF70" s="359"/>
      <c r="AG70" s="359"/>
      <c r="AH70" s="368">
        <f t="shared" si="29"/>
        <v>0</v>
      </c>
    </row>
    <row r="71" spans="1:34" ht="29.25" customHeight="1">
      <c r="A71" s="97" t="s">
        <v>559</v>
      </c>
      <c r="B71" s="348" t="s">
        <v>560</v>
      </c>
      <c r="C71" s="344"/>
      <c r="D71" s="344"/>
      <c r="E71" s="344"/>
      <c r="F71" s="344"/>
      <c r="G71" s="344"/>
      <c r="H71" s="344"/>
      <c r="I71" s="344"/>
      <c r="J71" s="344"/>
      <c r="K71" s="344"/>
      <c r="L71" s="344"/>
      <c r="M71" s="344"/>
      <c r="N71" s="344"/>
      <c r="O71" s="344"/>
      <c r="P71" s="344"/>
      <c r="Q71" s="344"/>
      <c r="R71" s="344"/>
      <c r="S71" s="333">
        <f aca="true" t="shared" si="33" ref="S71:AA71">SUM(S72:S75)</f>
        <v>0</v>
      </c>
      <c r="T71" s="333">
        <f t="shared" si="33"/>
        <v>0</v>
      </c>
      <c r="U71" s="333">
        <f t="shared" si="33"/>
        <v>8837</v>
      </c>
      <c r="V71" s="333">
        <f t="shared" si="33"/>
        <v>2075.2</v>
      </c>
      <c r="W71" s="333">
        <f t="shared" si="33"/>
        <v>0</v>
      </c>
      <c r="X71" s="333">
        <f t="shared" si="33"/>
        <v>10912.2</v>
      </c>
      <c r="Y71" s="333">
        <f t="shared" si="33"/>
        <v>883.7</v>
      </c>
      <c r="Z71" s="333">
        <f t="shared" si="33"/>
        <v>0</v>
      </c>
      <c r="AA71" s="333">
        <f t="shared" si="33"/>
        <v>0</v>
      </c>
      <c r="AB71" s="333"/>
      <c r="AC71" s="330">
        <f t="shared" si="4"/>
        <v>10912.2</v>
      </c>
      <c r="AD71" s="330">
        <f>AC71-Y71-1</f>
        <v>10027.5</v>
      </c>
      <c r="AE71" s="347"/>
      <c r="AF71" s="347"/>
      <c r="AG71" s="347"/>
      <c r="AH71" s="330">
        <f t="shared" si="29"/>
        <v>10027.5</v>
      </c>
    </row>
    <row r="72" spans="1:34" ht="22.5" customHeight="1">
      <c r="A72" s="329">
        <v>1</v>
      </c>
      <c r="B72" s="347" t="s">
        <v>587</v>
      </c>
      <c r="C72" s="347"/>
      <c r="D72" s="347"/>
      <c r="E72" s="347"/>
      <c r="F72" s="347"/>
      <c r="G72" s="347"/>
      <c r="H72" s="347"/>
      <c r="I72" s="347"/>
      <c r="J72" s="347"/>
      <c r="K72" s="347"/>
      <c r="L72" s="347"/>
      <c r="M72" s="347"/>
      <c r="N72" s="347"/>
      <c r="O72" s="347"/>
      <c r="P72" s="347"/>
      <c r="Q72" s="347"/>
      <c r="R72" s="347"/>
      <c r="S72" s="347"/>
      <c r="T72" s="347"/>
      <c r="U72" s="344"/>
      <c r="V72" s="344">
        <f>ATGT!F12-ATGT!F41</f>
        <v>2075.2</v>
      </c>
      <c r="W72" s="344"/>
      <c r="X72" s="344">
        <f>SUM(S72:W72)</f>
        <v>2075.2</v>
      </c>
      <c r="Y72" s="344"/>
      <c r="Z72" s="344"/>
      <c r="AA72" s="344"/>
      <c r="AB72" s="344"/>
      <c r="AC72" s="346">
        <f t="shared" si="4"/>
        <v>2075.2</v>
      </c>
      <c r="AD72" s="346">
        <f t="shared" si="2"/>
        <v>2075.2</v>
      </c>
      <c r="AE72" s="347"/>
      <c r="AF72" s="347"/>
      <c r="AG72" s="347"/>
      <c r="AH72" s="346">
        <f t="shared" si="29"/>
        <v>2075.2</v>
      </c>
    </row>
    <row r="73" spans="1:34" ht="18" customHeight="1" hidden="1">
      <c r="A73" s="329"/>
      <c r="B73" s="347" t="s">
        <v>706</v>
      </c>
      <c r="C73" s="347"/>
      <c r="D73" s="347"/>
      <c r="E73" s="347"/>
      <c r="F73" s="347"/>
      <c r="G73" s="347"/>
      <c r="H73" s="347"/>
      <c r="I73" s="347"/>
      <c r="J73" s="347"/>
      <c r="K73" s="347"/>
      <c r="L73" s="347"/>
      <c r="M73" s="347"/>
      <c r="N73" s="347"/>
      <c r="O73" s="347"/>
      <c r="P73" s="347"/>
      <c r="Q73" s="347"/>
      <c r="R73" s="347"/>
      <c r="S73" s="347"/>
      <c r="T73" s="347"/>
      <c r="U73" s="344"/>
      <c r="V73" s="344"/>
      <c r="W73" s="344"/>
      <c r="X73" s="344"/>
      <c r="Y73" s="344"/>
      <c r="Z73" s="344"/>
      <c r="AA73" s="344"/>
      <c r="AB73" s="344"/>
      <c r="AC73" s="346"/>
      <c r="AD73" s="346"/>
      <c r="AE73" s="347"/>
      <c r="AF73" s="347"/>
      <c r="AG73" s="347"/>
      <c r="AH73" s="346"/>
    </row>
    <row r="74" spans="1:34" ht="20.25" customHeight="1" hidden="1">
      <c r="A74" s="329"/>
      <c r="B74" s="347" t="s">
        <v>818</v>
      </c>
      <c r="C74" s="347"/>
      <c r="D74" s="347"/>
      <c r="E74" s="347"/>
      <c r="F74" s="347"/>
      <c r="G74" s="347"/>
      <c r="H74" s="347"/>
      <c r="I74" s="347"/>
      <c r="J74" s="347"/>
      <c r="K74" s="347"/>
      <c r="L74" s="347"/>
      <c r="M74" s="347"/>
      <c r="N74" s="347"/>
      <c r="O74" s="347"/>
      <c r="P74" s="347"/>
      <c r="Q74" s="347"/>
      <c r="R74" s="347"/>
      <c r="S74" s="347"/>
      <c r="T74" s="347"/>
      <c r="U74" s="344"/>
      <c r="V74" s="344"/>
      <c r="W74" s="344"/>
      <c r="X74" s="344"/>
      <c r="Y74" s="344"/>
      <c r="Z74" s="344"/>
      <c r="AA74" s="344"/>
      <c r="AB74" s="344"/>
      <c r="AC74" s="346"/>
      <c r="AD74" s="346"/>
      <c r="AE74" s="347"/>
      <c r="AF74" s="347"/>
      <c r="AG74" s="347"/>
      <c r="AH74" s="346"/>
    </row>
    <row r="75" spans="1:34" s="369" customFormat="1" ht="29.25" customHeight="1">
      <c r="A75" s="355">
        <v>2</v>
      </c>
      <c r="B75" s="359" t="s">
        <v>588</v>
      </c>
      <c r="C75" s="359"/>
      <c r="D75" s="359"/>
      <c r="E75" s="359"/>
      <c r="F75" s="359"/>
      <c r="G75" s="359"/>
      <c r="H75" s="359"/>
      <c r="I75" s="359"/>
      <c r="J75" s="359"/>
      <c r="K75" s="359"/>
      <c r="L75" s="359"/>
      <c r="M75" s="359"/>
      <c r="N75" s="359"/>
      <c r="O75" s="359"/>
      <c r="P75" s="359"/>
      <c r="Q75" s="359"/>
      <c r="R75" s="359"/>
      <c r="S75" s="359"/>
      <c r="T75" s="359"/>
      <c r="U75" s="367">
        <f>X75</f>
        <v>8837</v>
      </c>
      <c r="V75" s="367"/>
      <c r="W75" s="367"/>
      <c r="X75" s="367">
        <f>7829+28+151+25+3+15+70+721-10+5</f>
        <v>8837</v>
      </c>
      <c r="Y75" s="367">
        <f>U75*10%</f>
        <v>883.7</v>
      </c>
      <c r="Z75" s="367"/>
      <c r="AA75" s="367"/>
      <c r="AB75" s="367"/>
      <c r="AC75" s="368">
        <f t="shared" si="4"/>
        <v>8837</v>
      </c>
      <c r="AD75" s="368">
        <f t="shared" si="2"/>
        <v>7953.3</v>
      </c>
      <c r="AE75" s="359"/>
      <c r="AF75" s="359"/>
      <c r="AG75" s="359"/>
      <c r="AH75" s="368">
        <f>AD75+AF75</f>
        <v>7953.3</v>
      </c>
    </row>
  </sheetData>
  <sheetProtection/>
  <mergeCells count="34">
    <mergeCell ref="B7:B11"/>
    <mergeCell ref="X7:X11"/>
    <mergeCell ref="AC7:AC11"/>
    <mergeCell ref="A3:AH3"/>
    <mergeCell ref="AE7:AG7"/>
    <mergeCell ref="AD7:AD11"/>
    <mergeCell ref="AH7:AH11"/>
    <mergeCell ref="A4:AH4"/>
    <mergeCell ref="AF8:AG8"/>
    <mergeCell ref="AF9:AF11"/>
    <mergeCell ref="U7:U11"/>
    <mergeCell ref="AG9:AG11"/>
    <mergeCell ref="Z8:Z11"/>
    <mergeCell ref="Y7:Y11"/>
    <mergeCell ref="AA8:AB8"/>
    <mergeCell ref="AB9:AB11"/>
    <mergeCell ref="W7:W11"/>
    <mergeCell ref="C7:C11"/>
    <mergeCell ref="D7:D11"/>
    <mergeCell ref="E7:R7"/>
    <mergeCell ref="S7:S11"/>
    <mergeCell ref="R8:R11"/>
    <mergeCell ref="F8:F11"/>
    <mergeCell ref="G8:G11"/>
    <mergeCell ref="A5:AH5"/>
    <mergeCell ref="AA9:AA11"/>
    <mergeCell ref="T7:T11"/>
    <mergeCell ref="Z7:AB7"/>
    <mergeCell ref="V7:V11"/>
    <mergeCell ref="A7:A11"/>
    <mergeCell ref="E8:E11"/>
    <mergeCell ref="AF6:AH6"/>
    <mergeCell ref="AE8:AE11"/>
    <mergeCell ref="H8:Q8"/>
  </mergeCells>
  <printOptions/>
  <pageMargins left="0.31" right="0.26" top="0.43" bottom="0.42" header="0.46" footer="0.22"/>
  <pageSetup horizontalDpi="600" verticalDpi="600" orientation="landscape" paperSize="9" scale="75" r:id="rId4"/>
  <headerFooter alignWithMargins="0">
    <oddFooter>&amp;CPage &amp;P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35"/>
  </sheetPr>
  <dimension ref="A1:V133"/>
  <sheetViews>
    <sheetView zoomScale="110" zoomScaleNormal="110" zoomScalePageLayoutView="0" workbookViewId="0" topLeftCell="A1">
      <selection activeCell="A5" sqref="A5:U5"/>
    </sheetView>
  </sheetViews>
  <sheetFormatPr defaultColWidth="8.57421875" defaultRowHeight="12.75"/>
  <cols>
    <col min="1" max="1" width="5.140625" style="29" customWidth="1"/>
    <col min="2" max="2" width="21.421875" style="28" customWidth="1"/>
    <col min="3" max="3" width="8.8515625" style="28" customWidth="1"/>
    <col min="4" max="4" width="8.7109375" style="28" customWidth="1"/>
    <col min="5" max="5" width="11.00390625" style="28" customWidth="1"/>
    <col min="6" max="6" width="10.140625" style="28" customWidth="1"/>
    <col min="7" max="7" width="9.28125" style="78" hidden="1" customWidth="1"/>
    <col min="8" max="8" width="9.28125" style="28" customWidth="1"/>
    <col min="9" max="9" width="11.57421875" style="28" customWidth="1"/>
    <col min="10" max="10" width="9.140625" style="28" customWidth="1"/>
    <col min="11" max="11" width="10.8515625" style="28" customWidth="1"/>
    <col min="12" max="12" width="10.00390625" style="28" customWidth="1"/>
    <col min="13" max="13" width="10.140625" style="28" customWidth="1"/>
    <col min="14" max="14" width="10.7109375" style="28" customWidth="1"/>
    <col min="15" max="15" width="11.7109375" style="28" customWidth="1"/>
    <col min="16" max="16" width="9.421875" style="28" hidden="1" customWidth="1"/>
    <col min="17" max="17" width="11.140625" style="28" hidden="1" customWidth="1"/>
    <col min="18" max="18" width="8.7109375" style="28" customWidth="1"/>
    <col min="19" max="19" width="9.8515625" style="28" customWidth="1"/>
    <col min="20" max="20" width="8.421875" style="28" customWidth="1"/>
    <col min="21" max="21" width="12.00390625" style="28" customWidth="1"/>
    <col min="22" max="22" width="10.7109375" style="28" customWidth="1"/>
    <col min="23" max="23" width="13.00390625" style="28" customWidth="1"/>
    <col min="24" max="16384" width="8.57421875" style="28" customWidth="1"/>
  </cols>
  <sheetData>
    <row r="1" ht="16.5">
      <c r="A1" s="16" t="s">
        <v>643</v>
      </c>
    </row>
    <row r="2" spans="1:9" ht="16.5">
      <c r="A2" s="16" t="s">
        <v>64</v>
      </c>
      <c r="I2" s="89"/>
    </row>
    <row r="3" spans="2:21" ht="18.75">
      <c r="B3" s="951" t="s">
        <v>42</v>
      </c>
      <c r="C3" s="951"/>
      <c r="D3" s="951"/>
      <c r="E3" s="951"/>
      <c r="F3" s="951"/>
      <c r="G3" s="951"/>
      <c r="H3" s="951"/>
      <c r="I3" s="951"/>
      <c r="J3" s="951"/>
      <c r="K3" s="951"/>
      <c r="L3" s="951"/>
      <c r="M3" s="951"/>
      <c r="N3" s="951"/>
      <c r="O3" s="951"/>
      <c r="P3" s="951"/>
      <c r="Q3" s="951"/>
      <c r="R3" s="951"/>
      <c r="S3" s="951"/>
      <c r="T3" s="951"/>
      <c r="U3" s="951"/>
    </row>
    <row r="4" spans="1:21" ht="21" customHeight="1">
      <c r="A4" s="952" t="s">
        <v>883</v>
      </c>
      <c r="B4" s="952"/>
      <c r="C4" s="952"/>
      <c r="D4" s="952"/>
      <c r="E4" s="952"/>
      <c r="F4" s="952"/>
      <c r="G4" s="952"/>
      <c r="H4" s="952"/>
      <c r="I4" s="952"/>
      <c r="J4" s="952"/>
      <c r="K4" s="952"/>
      <c r="L4" s="952"/>
      <c r="M4" s="952"/>
      <c r="N4" s="952"/>
      <c r="O4" s="952"/>
      <c r="P4" s="952"/>
      <c r="Q4" s="952"/>
      <c r="R4" s="952"/>
      <c r="S4" s="952"/>
      <c r="T4" s="952"/>
      <c r="U4" s="952"/>
    </row>
    <row r="5" spans="1:21" ht="21" customHeight="1">
      <c r="A5" s="953" t="s">
        <v>888</v>
      </c>
      <c r="B5" s="953"/>
      <c r="C5" s="953"/>
      <c r="D5" s="953"/>
      <c r="E5" s="953"/>
      <c r="F5" s="953"/>
      <c r="G5" s="953"/>
      <c r="H5" s="953"/>
      <c r="I5" s="953"/>
      <c r="J5" s="953"/>
      <c r="K5" s="953"/>
      <c r="L5" s="953"/>
      <c r="M5" s="953"/>
      <c r="N5" s="953"/>
      <c r="O5" s="953"/>
      <c r="P5" s="953"/>
      <c r="Q5" s="953"/>
      <c r="R5" s="953"/>
      <c r="S5" s="953"/>
      <c r="T5" s="953"/>
      <c r="U5" s="953"/>
    </row>
    <row r="6" spans="4:21" ht="21" customHeight="1">
      <c r="D6" s="77"/>
      <c r="I6" s="88"/>
      <c r="K6" s="77"/>
      <c r="O6" s="77"/>
      <c r="R6" s="957" t="s">
        <v>165</v>
      </c>
      <c r="S6" s="957"/>
      <c r="T6" s="957"/>
      <c r="U6" s="957"/>
    </row>
    <row r="7" spans="1:21" ht="18" customHeight="1">
      <c r="A7" s="944" t="s">
        <v>293</v>
      </c>
      <c r="B7" s="944" t="s">
        <v>318</v>
      </c>
      <c r="C7" s="944" t="s">
        <v>797</v>
      </c>
      <c r="D7" s="944" t="s">
        <v>798</v>
      </c>
      <c r="E7" s="912" t="s">
        <v>799</v>
      </c>
      <c r="F7" s="912" t="s">
        <v>319</v>
      </c>
      <c r="G7" s="954" t="s">
        <v>252</v>
      </c>
      <c r="H7" s="912" t="s">
        <v>567</v>
      </c>
      <c r="I7" s="912" t="s">
        <v>320</v>
      </c>
      <c r="J7" s="912" t="s">
        <v>321</v>
      </c>
      <c r="K7" s="944" t="s">
        <v>322</v>
      </c>
      <c r="L7" s="949" t="s">
        <v>597</v>
      </c>
      <c r="M7" s="949"/>
      <c r="N7" s="949"/>
      <c r="O7" s="944" t="s">
        <v>640</v>
      </c>
      <c r="P7" s="944" t="s">
        <v>568</v>
      </c>
      <c r="Q7" s="944" t="s">
        <v>319</v>
      </c>
      <c r="R7" s="949" t="s">
        <v>600</v>
      </c>
      <c r="S7" s="949"/>
      <c r="T7" s="949"/>
      <c r="U7" s="944" t="s">
        <v>865</v>
      </c>
    </row>
    <row r="8" spans="1:21" ht="16.5" customHeight="1">
      <c r="A8" s="945"/>
      <c r="B8" s="945"/>
      <c r="C8" s="945"/>
      <c r="D8" s="945"/>
      <c r="E8" s="912"/>
      <c r="F8" s="912"/>
      <c r="G8" s="955"/>
      <c r="H8" s="912"/>
      <c r="I8" s="912"/>
      <c r="J8" s="912"/>
      <c r="K8" s="945"/>
      <c r="L8" s="958" t="s">
        <v>598</v>
      </c>
      <c r="M8" s="949" t="s">
        <v>324</v>
      </c>
      <c r="N8" s="949"/>
      <c r="O8" s="945"/>
      <c r="P8" s="945"/>
      <c r="Q8" s="945"/>
      <c r="R8" s="948" t="s">
        <v>642</v>
      </c>
      <c r="S8" s="949" t="s">
        <v>324</v>
      </c>
      <c r="T8" s="949"/>
      <c r="U8" s="945"/>
    </row>
    <row r="9" spans="1:21" ht="24" customHeight="1">
      <c r="A9" s="945"/>
      <c r="B9" s="945"/>
      <c r="C9" s="945"/>
      <c r="D9" s="945"/>
      <c r="E9" s="912"/>
      <c r="F9" s="912"/>
      <c r="G9" s="955"/>
      <c r="H9" s="912"/>
      <c r="I9" s="912"/>
      <c r="J9" s="912"/>
      <c r="K9" s="945"/>
      <c r="L9" s="959"/>
      <c r="M9" s="948" t="s">
        <v>325</v>
      </c>
      <c r="N9" s="948" t="s">
        <v>641</v>
      </c>
      <c r="O9" s="945"/>
      <c r="P9" s="945"/>
      <c r="Q9" s="945"/>
      <c r="R9" s="948"/>
      <c r="S9" s="948" t="s">
        <v>68</v>
      </c>
      <c r="T9" s="911" t="s">
        <v>867</v>
      </c>
      <c r="U9" s="945"/>
    </row>
    <row r="10" spans="1:21" ht="15.75">
      <c r="A10" s="945"/>
      <c r="B10" s="945"/>
      <c r="C10" s="945"/>
      <c r="D10" s="945"/>
      <c r="E10" s="912"/>
      <c r="F10" s="912"/>
      <c r="G10" s="955"/>
      <c r="H10" s="912"/>
      <c r="I10" s="912"/>
      <c r="J10" s="912"/>
      <c r="K10" s="945"/>
      <c r="L10" s="959"/>
      <c r="M10" s="948"/>
      <c r="N10" s="948"/>
      <c r="O10" s="945"/>
      <c r="P10" s="945"/>
      <c r="Q10" s="945"/>
      <c r="R10" s="948"/>
      <c r="S10" s="948"/>
      <c r="T10" s="911"/>
      <c r="U10" s="945"/>
    </row>
    <row r="11" spans="1:21" ht="84.75" customHeight="1">
      <c r="A11" s="946"/>
      <c r="B11" s="946"/>
      <c r="C11" s="946"/>
      <c r="D11" s="946"/>
      <c r="E11" s="912"/>
      <c r="F11" s="912"/>
      <c r="G11" s="956"/>
      <c r="H11" s="912"/>
      <c r="I11" s="912"/>
      <c r="J11" s="912"/>
      <c r="K11" s="946"/>
      <c r="L11" s="960"/>
      <c r="M11" s="948"/>
      <c r="N11" s="948"/>
      <c r="O11" s="946"/>
      <c r="P11" s="946"/>
      <c r="Q11" s="946"/>
      <c r="R11" s="948"/>
      <c r="S11" s="948"/>
      <c r="T11" s="911"/>
      <c r="U11" s="946"/>
    </row>
    <row r="12" spans="1:21" s="79" customFormat="1" ht="23.25" customHeight="1">
      <c r="A12" s="273">
        <v>1</v>
      </c>
      <c r="B12" s="273">
        <v>2</v>
      </c>
      <c r="C12" s="273">
        <v>3</v>
      </c>
      <c r="D12" s="273">
        <v>4</v>
      </c>
      <c r="E12" s="273">
        <v>5</v>
      </c>
      <c r="F12" s="274">
        <v>6</v>
      </c>
      <c r="G12" s="275">
        <v>7</v>
      </c>
      <c r="H12" s="274">
        <v>8</v>
      </c>
      <c r="I12" s="274" t="s">
        <v>569</v>
      </c>
      <c r="J12" s="274" t="s">
        <v>800</v>
      </c>
      <c r="K12" s="274" t="s">
        <v>570</v>
      </c>
      <c r="L12" s="274" t="s">
        <v>571</v>
      </c>
      <c r="M12" s="274">
        <v>13</v>
      </c>
      <c r="N12" s="274">
        <v>14</v>
      </c>
      <c r="O12" s="274" t="s">
        <v>652</v>
      </c>
      <c r="P12" s="56"/>
      <c r="Q12" s="56"/>
      <c r="R12" s="274">
        <v>16</v>
      </c>
      <c r="S12" s="274">
        <v>17</v>
      </c>
      <c r="T12" s="274">
        <v>18</v>
      </c>
      <c r="U12" s="274" t="s">
        <v>864</v>
      </c>
    </row>
    <row r="13" spans="1:22" ht="22.5" customHeight="1">
      <c r="A13" s="950" t="s">
        <v>327</v>
      </c>
      <c r="B13" s="950"/>
      <c r="C13" s="68">
        <f>C14+C113+C118+C121+C127</f>
        <v>1814</v>
      </c>
      <c r="D13" s="68">
        <f>D14+D113+D118+D121+D127</f>
        <v>1723</v>
      </c>
      <c r="E13" s="68">
        <f aca="true" t="shared" si="0" ref="E13:T13">E14+E113+E118+E121+E127</f>
        <v>186268.33</v>
      </c>
      <c r="F13" s="68">
        <f t="shared" si="0"/>
        <v>48911</v>
      </c>
      <c r="G13" s="68">
        <f t="shared" si="0"/>
        <v>0</v>
      </c>
      <c r="H13" s="68">
        <f t="shared" si="0"/>
        <v>4215</v>
      </c>
      <c r="I13" s="68">
        <f t="shared" si="0"/>
        <v>255072</v>
      </c>
      <c r="J13" s="68">
        <f t="shared" si="0"/>
        <v>6277.366999999998</v>
      </c>
      <c r="K13" s="68">
        <f t="shared" si="0"/>
        <v>248794.63299999997</v>
      </c>
      <c r="L13" s="68">
        <f t="shared" si="0"/>
        <v>10608</v>
      </c>
      <c r="M13" s="68">
        <f t="shared" si="0"/>
        <v>6365</v>
      </c>
      <c r="N13" s="68">
        <f t="shared" si="0"/>
        <v>4243</v>
      </c>
      <c r="O13" s="68">
        <f t="shared" si="0"/>
        <v>242429.63299999997</v>
      </c>
      <c r="P13" s="296">
        <f t="shared" si="0"/>
        <v>1388</v>
      </c>
      <c r="Q13" s="296">
        <f t="shared" si="0"/>
        <v>45565</v>
      </c>
      <c r="R13" s="68">
        <f t="shared" si="0"/>
        <v>188.8</v>
      </c>
      <c r="S13" s="68">
        <f t="shared" si="0"/>
        <v>113.8</v>
      </c>
      <c r="T13" s="68">
        <f t="shared" si="0"/>
        <v>75</v>
      </c>
      <c r="U13" s="68">
        <f>U14+U113+U118+U121+U127</f>
        <v>242315.83299999998</v>
      </c>
      <c r="V13" s="88"/>
    </row>
    <row r="14" spans="1:21" ht="27.75" customHeight="1">
      <c r="A14" s="276" t="s">
        <v>295</v>
      </c>
      <c r="B14" s="277" t="s">
        <v>683</v>
      </c>
      <c r="C14" s="68">
        <f>C15+C64</f>
        <v>1792</v>
      </c>
      <c r="D14" s="68">
        <f aca="true" t="shared" si="1" ref="D14:U14">D15+D64</f>
        <v>1704</v>
      </c>
      <c r="E14" s="68">
        <f t="shared" si="1"/>
        <v>184311.33</v>
      </c>
      <c r="F14" s="68">
        <f t="shared" si="1"/>
        <v>44965</v>
      </c>
      <c r="G14" s="68">
        <f t="shared" si="1"/>
        <v>0</v>
      </c>
      <c r="H14" s="68">
        <f t="shared" si="1"/>
        <v>4215</v>
      </c>
      <c r="I14" s="68">
        <f t="shared" si="1"/>
        <v>233491.33000000002</v>
      </c>
      <c r="J14" s="68">
        <f t="shared" si="1"/>
        <v>4496.5</v>
      </c>
      <c r="K14" s="68">
        <f t="shared" si="1"/>
        <v>228994.83</v>
      </c>
      <c r="L14" s="68">
        <f t="shared" si="1"/>
        <v>10392</v>
      </c>
      <c r="M14" s="68">
        <f t="shared" si="1"/>
        <v>6235</v>
      </c>
      <c r="N14" s="68">
        <f t="shared" si="1"/>
        <v>4157</v>
      </c>
      <c r="O14" s="68">
        <f t="shared" si="1"/>
        <v>222759.83</v>
      </c>
      <c r="P14" s="296">
        <f t="shared" si="1"/>
        <v>1358</v>
      </c>
      <c r="Q14" s="296">
        <f t="shared" si="1"/>
        <v>44965</v>
      </c>
      <c r="R14" s="68">
        <f t="shared" si="1"/>
        <v>148.8</v>
      </c>
      <c r="S14" s="68">
        <f t="shared" si="1"/>
        <v>89.8</v>
      </c>
      <c r="T14" s="68">
        <f t="shared" si="1"/>
        <v>59</v>
      </c>
      <c r="U14" s="68">
        <f t="shared" si="1"/>
        <v>222670.03</v>
      </c>
    </row>
    <row r="15" spans="1:21" ht="33" customHeight="1">
      <c r="A15" s="15" t="s">
        <v>261</v>
      </c>
      <c r="B15" s="277" t="s">
        <v>801</v>
      </c>
      <c r="C15" s="68">
        <f>+C16+C34+C53</f>
        <v>1575</v>
      </c>
      <c r="D15" s="68">
        <f aca="true" t="shared" si="2" ref="D15:U15">+D16+D34+D53</f>
        <v>1491</v>
      </c>
      <c r="E15" s="68">
        <f t="shared" si="2"/>
        <v>184311.33</v>
      </c>
      <c r="F15" s="68">
        <f t="shared" si="2"/>
        <v>44965</v>
      </c>
      <c r="G15" s="68">
        <f t="shared" si="2"/>
        <v>0</v>
      </c>
      <c r="H15" s="68">
        <f t="shared" si="2"/>
        <v>4215</v>
      </c>
      <c r="I15" s="68">
        <f t="shared" si="2"/>
        <v>233491.33000000002</v>
      </c>
      <c r="J15" s="68">
        <f t="shared" si="2"/>
        <v>4496.5</v>
      </c>
      <c r="K15" s="68">
        <f t="shared" si="2"/>
        <v>228994.83</v>
      </c>
      <c r="L15" s="68">
        <f t="shared" si="2"/>
        <v>10392</v>
      </c>
      <c r="M15" s="68">
        <f t="shared" si="2"/>
        <v>6235</v>
      </c>
      <c r="N15" s="68">
        <f t="shared" si="2"/>
        <v>4157</v>
      </c>
      <c r="O15" s="68">
        <f t="shared" si="2"/>
        <v>222759.83</v>
      </c>
      <c r="P15" s="296">
        <f t="shared" si="2"/>
        <v>1358</v>
      </c>
      <c r="Q15" s="296">
        <f t="shared" si="2"/>
        <v>44965</v>
      </c>
      <c r="R15" s="68">
        <f t="shared" si="2"/>
        <v>148.8</v>
      </c>
      <c r="S15" s="68">
        <f t="shared" si="2"/>
        <v>89.8</v>
      </c>
      <c r="T15" s="68">
        <f t="shared" si="2"/>
        <v>59</v>
      </c>
      <c r="U15" s="68">
        <f t="shared" si="2"/>
        <v>222670.03</v>
      </c>
    </row>
    <row r="16" spans="1:21" s="35" customFormat="1" ht="15.75">
      <c r="A16" s="276" t="s">
        <v>311</v>
      </c>
      <c r="B16" s="277" t="s">
        <v>237</v>
      </c>
      <c r="C16" s="303">
        <f>SUM(C17:C33)</f>
        <v>460</v>
      </c>
      <c r="D16" s="303">
        <f aca="true" t="shared" si="3" ref="D16:U16">SUM(D17:D33)</f>
        <v>422</v>
      </c>
      <c r="E16" s="68">
        <f t="shared" si="3"/>
        <v>44135.51</v>
      </c>
      <c r="F16" s="68">
        <f t="shared" si="3"/>
        <v>19320</v>
      </c>
      <c r="G16" s="80">
        <f t="shared" si="3"/>
        <v>0</v>
      </c>
      <c r="H16" s="68">
        <f t="shared" si="3"/>
        <v>15</v>
      </c>
      <c r="I16" s="68">
        <f t="shared" si="3"/>
        <v>63470.51</v>
      </c>
      <c r="J16" s="68">
        <f t="shared" si="3"/>
        <v>1932.0000000000002</v>
      </c>
      <c r="K16" s="68">
        <f t="shared" si="3"/>
        <v>61538.51</v>
      </c>
      <c r="L16" s="68">
        <f t="shared" si="3"/>
        <v>5203</v>
      </c>
      <c r="M16" s="68">
        <f t="shared" si="3"/>
        <v>3122</v>
      </c>
      <c r="N16" s="68">
        <f t="shared" si="3"/>
        <v>2081</v>
      </c>
      <c r="O16" s="68">
        <f t="shared" si="3"/>
        <v>58416.51</v>
      </c>
      <c r="P16" s="296">
        <f t="shared" si="3"/>
        <v>714</v>
      </c>
      <c r="Q16" s="296">
        <f t="shared" si="3"/>
        <v>19320</v>
      </c>
      <c r="R16" s="68">
        <f t="shared" si="3"/>
        <v>0</v>
      </c>
      <c r="S16" s="68">
        <f t="shared" si="3"/>
        <v>0</v>
      </c>
      <c r="T16" s="68">
        <f t="shared" si="3"/>
        <v>0</v>
      </c>
      <c r="U16" s="304">
        <f t="shared" si="3"/>
        <v>58416.51</v>
      </c>
    </row>
    <row r="17" spans="1:21" ht="15.75">
      <c r="A17" s="273">
        <v>1</v>
      </c>
      <c r="B17" s="316" t="s">
        <v>328</v>
      </c>
      <c r="C17" s="317">
        <v>18</v>
      </c>
      <c r="D17" s="318">
        <v>15</v>
      </c>
      <c r="E17" s="281">
        <v>1387.05</v>
      </c>
      <c r="F17" s="281">
        <f aca="true" t="shared" si="4" ref="F17:F33">P17*C17</f>
        <v>756</v>
      </c>
      <c r="G17" s="282"/>
      <c r="H17" s="281"/>
      <c r="I17" s="281">
        <f aca="true" t="shared" si="5" ref="I17:I33">E17+F17+G17+H17</f>
        <v>2143.05</v>
      </c>
      <c r="J17" s="281">
        <f aca="true" t="shared" si="6" ref="J17:J33">F17*10%</f>
        <v>75.60000000000001</v>
      </c>
      <c r="K17" s="281">
        <f>I17-J17</f>
        <v>2067.4500000000003</v>
      </c>
      <c r="L17" s="281">
        <f>M17+N17</f>
        <v>243</v>
      </c>
      <c r="M17" s="319">
        <v>146</v>
      </c>
      <c r="N17" s="319">
        <v>97</v>
      </c>
      <c r="O17" s="281">
        <f aca="true" t="shared" si="7" ref="O17:O33">K17-M17</f>
        <v>1921.4500000000003</v>
      </c>
      <c r="P17" s="283">
        <v>42</v>
      </c>
      <c r="Q17" s="283">
        <f aca="true" t="shared" si="8" ref="Q17:Q33">P17*C17</f>
        <v>756</v>
      </c>
      <c r="R17" s="283">
        <f aca="true" t="shared" si="9" ref="R17:R33">S17+T17</f>
        <v>0</v>
      </c>
      <c r="S17" s="281"/>
      <c r="T17" s="284"/>
      <c r="U17" s="285">
        <f aca="true" t="shared" si="10" ref="U17:U33">O17+S17</f>
        <v>1921.4500000000003</v>
      </c>
    </row>
    <row r="18" spans="1:21" ht="15.75">
      <c r="A18" s="286">
        <v>2</v>
      </c>
      <c r="B18" s="320" t="s">
        <v>329</v>
      </c>
      <c r="C18" s="321">
        <v>32</v>
      </c>
      <c r="D18" s="318">
        <v>32</v>
      </c>
      <c r="E18" s="281">
        <v>3715.85</v>
      </c>
      <c r="F18" s="281">
        <f t="shared" si="4"/>
        <v>1344</v>
      </c>
      <c r="G18" s="282"/>
      <c r="H18" s="281"/>
      <c r="I18" s="281">
        <f t="shared" si="5"/>
        <v>5059.85</v>
      </c>
      <c r="J18" s="281">
        <f t="shared" si="6"/>
        <v>134.4</v>
      </c>
      <c r="K18" s="281">
        <f aca="true" t="shared" si="11" ref="K18:K63">I18-J18</f>
        <v>4925.450000000001</v>
      </c>
      <c r="L18" s="281">
        <f aca="true" t="shared" si="12" ref="L18:L63">M18+N18</f>
        <v>410</v>
      </c>
      <c r="M18" s="319">
        <v>246</v>
      </c>
      <c r="N18" s="319">
        <v>164</v>
      </c>
      <c r="O18" s="281">
        <f t="shared" si="7"/>
        <v>4679.450000000001</v>
      </c>
      <c r="P18" s="283">
        <v>42</v>
      </c>
      <c r="Q18" s="283">
        <f t="shared" si="8"/>
        <v>1344</v>
      </c>
      <c r="R18" s="283">
        <f t="shared" si="9"/>
        <v>0</v>
      </c>
      <c r="S18" s="281"/>
      <c r="T18" s="284"/>
      <c r="U18" s="285">
        <f t="shared" si="10"/>
        <v>4679.450000000001</v>
      </c>
    </row>
    <row r="19" spans="1:21" ht="15.75">
      <c r="A19" s="273">
        <v>3</v>
      </c>
      <c r="B19" s="320" t="s">
        <v>330</v>
      </c>
      <c r="C19" s="321">
        <v>31</v>
      </c>
      <c r="D19" s="318">
        <v>21</v>
      </c>
      <c r="E19" s="281">
        <v>2211.37</v>
      </c>
      <c r="F19" s="281">
        <f t="shared" si="4"/>
        <v>1302</v>
      </c>
      <c r="G19" s="282"/>
      <c r="H19" s="281"/>
      <c r="I19" s="281">
        <f t="shared" si="5"/>
        <v>3513.37</v>
      </c>
      <c r="J19" s="281">
        <f t="shared" si="6"/>
        <v>130.20000000000002</v>
      </c>
      <c r="K19" s="281">
        <f>I19-J19</f>
        <v>3383.17</v>
      </c>
      <c r="L19" s="281">
        <f t="shared" si="12"/>
        <v>85</v>
      </c>
      <c r="M19" s="319">
        <v>51</v>
      </c>
      <c r="N19" s="319">
        <v>34</v>
      </c>
      <c r="O19" s="281">
        <f t="shared" si="7"/>
        <v>3332.17</v>
      </c>
      <c r="P19" s="283">
        <v>42</v>
      </c>
      <c r="Q19" s="283">
        <f t="shared" si="8"/>
        <v>1302</v>
      </c>
      <c r="R19" s="283">
        <f t="shared" si="9"/>
        <v>0</v>
      </c>
      <c r="S19" s="281"/>
      <c r="T19" s="284"/>
      <c r="U19" s="285">
        <f t="shared" si="10"/>
        <v>3332.17</v>
      </c>
    </row>
    <row r="20" spans="1:21" ht="15.75">
      <c r="A20" s="286">
        <v>4</v>
      </c>
      <c r="B20" s="320" t="s">
        <v>331</v>
      </c>
      <c r="C20" s="321">
        <v>18</v>
      </c>
      <c r="D20" s="318">
        <v>18</v>
      </c>
      <c r="E20" s="281">
        <v>1877.46</v>
      </c>
      <c r="F20" s="281">
        <f t="shared" si="4"/>
        <v>756</v>
      </c>
      <c r="G20" s="282"/>
      <c r="H20" s="281"/>
      <c r="I20" s="281">
        <f t="shared" si="5"/>
        <v>2633.46</v>
      </c>
      <c r="J20" s="281">
        <f t="shared" si="6"/>
        <v>75.60000000000001</v>
      </c>
      <c r="K20" s="281">
        <f t="shared" si="11"/>
        <v>2557.86</v>
      </c>
      <c r="L20" s="281">
        <f t="shared" si="12"/>
        <v>45</v>
      </c>
      <c r="M20" s="319">
        <v>27</v>
      </c>
      <c r="N20" s="319">
        <v>18</v>
      </c>
      <c r="O20" s="281">
        <f t="shared" si="7"/>
        <v>2530.86</v>
      </c>
      <c r="P20" s="283">
        <v>42</v>
      </c>
      <c r="Q20" s="283">
        <f t="shared" si="8"/>
        <v>756</v>
      </c>
      <c r="R20" s="283">
        <f t="shared" si="9"/>
        <v>0</v>
      </c>
      <c r="S20" s="281"/>
      <c r="T20" s="284"/>
      <c r="U20" s="285">
        <f t="shared" si="10"/>
        <v>2530.86</v>
      </c>
    </row>
    <row r="21" spans="1:21" ht="15.75">
      <c r="A21" s="273">
        <v>5</v>
      </c>
      <c r="B21" s="320" t="s">
        <v>332</v>
      </c>
      <c r="C21" s="321">
        <v>29</v>
      </c>
      <c r="D21" s="318">
        <v>26</v>
      </c>
      <c r="E21" s="281">
        <v>2752.03</v>
      </c>
      <c r="F21" s="281">
        <f t="shared" si="4"/>
        <v>1218</v>
      </c>
      <c r="G21" s="282"/>
      <c r="H21" s="281"/>
      <c r="I21" s="281">
        <f t="shared" si="5"/>
        <v>3970.03</v>
      </c>
      <c r="J21" s="281">
        <f t="shared" si="6"/>
        <v>121.80000000000001</v>
      </c>
      <c r="K21" s="281">
        <f t="shared" si="11"/>
        <v>3848.23</v>
      </c>
      <c r="L21" s="281">
        <f t="shared" si="12"/>
        <v>465</v>
      </c>
      <c r="M21" s="319">
        <v>279</v>
      </c>
      <c r="N21" s="319">
        <v>186</v>
      </c>
      <c r="O21" s="281">
        <f t="shared" si="7"/>
        <v>3569.23</v>
      </c>
      <c r="P21" s="283">
        <v>42</v>
      </c>
      <c r="Q21" s="283">
        <f t="shared" si="8"/>
        <v>1218</v>
      </c>
      <c r="R21" s="283">
        <f t="shared" si="9"/>
        <v>0</v>
      </c>
      <c r="S21" s="281"/>
      <c r="T21" s="284"/>
      <c r="U21" s="285">
        <f t="shared" si="10"/>
        <v>3569.23</v>
      </c>
    </row>
    <row r="22" spans="1:21" ht="15.75">
      <c r="A22" s="286">
        <v>6</v>
      </c>
      <c r="B22" s="320" t="s">
        <v>333</v>
      </c>
      <c r="C22" s="321">
        <v>16</v>
      </c>
      <c r="D22" s="318">
        <v>13</v>
      </c>
      <c r="E22" s="281">
        <v>1260.4</v>
      </c>
      <c r="F22" s="281">
        <f t="shared" si="4"/>
        <v>672</v>
      </c>
      <c r="G22" s="282"/>
      <c r="H22" s="281"/>
      <c r="I22" s="281">
        <f t="shared" si="5"/>
        <v>1932.4</v>
      </c>
      <c r="J22" s="281">
        <f t="shared" si="6"/>
        <v>67.2</v>
      </c>
      <c r="K22" s="281">
        <f t="shared" si="11"/>
        <v>1865.2</v>
      </c>
      <c r="L22" s="281">
        <f t="shared" si="12"/>
        <v>227</v>
      </c>
      <c r="M22" s="319">
        <v>136</v>
      </c>
      <c r="N22" s="319">
        <v>91</v>
      </c>
      <c r="O22" s="281">
        <f t="shared" si="7"/>
        <v>1729.2</v>
      </c>
      <c r="P22" s="283">
        <v>42</v>
      </c>
      <c r="Q22" s="283">
        <f t="shared" si="8"/>
        <v>672</v>
      </c>
      <c r="R22" s="283">
        <f t="shared" si="9"/>
        <v>0</v>
      </c>
      <c r="S22" s="281"/>
      <c r="T22" s="284"/>
      <c r="U22" s="285">
        <f t="shared" si="10"/>
        <v>1729.2</v>
      </c>
    </row>
    <row r="23" spans="1:21" ht="15.75">
      <c r="A23" s="273">
        <v>7</v>
      </c>
      <c r="B23" s="320" t="s">
        <v>334</v>
      </c>
      <c r="C23" s="321">
        <v>33</v>
      </c>
      <c r="D23" s="318">
        <v>29</v>
      </c>
      <c r="E23" s="281">
        <v>2652.58</v>
      </c>
      <c r="F23" s="281">
        <f t="shared" si="4"/>
        <v>1386</v>
      </c>
      <c r="G23" s="282"/>
      <c r="H23" s="281"/>
      <c r="I23" s="281">
        <f t="shared" si="5"/>
        <v>4038.58</v>
      </c>
      <c r="J23" s="281">
        <f t="shared" si="6"/>
        <v>138.6</v>
      </c>
      <c r="K23" s="281">
        <f t="shared" si="11"/>
        <v>3899.98</v>
      </c>
      <c r="L23" s="281">
        <f t="shared" si="12"/>
        <v>96</v>
      </c>
      <c r="M23" s="319">
        <v>58</v>
      </c>
      <c r="N23" s="319">
        <v>38</v>
      </c>
      <c r="O23" s="281">
        <f t="shared" si="7"/>
        <v>3841.98</v>
      </c>
      <c r="P23" s="283">
        <v>42</v>
      </c>
      <c r="Q23" s="283">
        <f t="shared" si="8"/>
        <v>1386</v>
      </c>
      <c r="R23" s="283">
        <f t="shared" si="9"/>
        <v>0</v>
      </c>
      <c r="S23" s="281"/>
      <c r="T23" s="284"/>
      <c r="U23" s="285">
        <f t="shared" si="10"/>
        <v>3841.98</v>
      </c>
    </row>
    <row r="24" spans="1:21" ht="15.75">
      <c r="A24" s="286">
        <v>8</v>
      </c>
      <c r="B24" s="320" t="s">
        <v>335</v>
      </c>
      <c r="C24" s="321">
        <v>23</v>
      </c>
      <c r="D24" s="318">
        <v>22</v>
      </c>
      <c r="E24" s="281">
        <v>1925.62</v>
      </c>
      <c r="F24" s="281">
        <f t="shared" si="4"/>
        <v>966</v>
      </c>
      <c r="G24" s="282"/>
      <c r="H24" s="281"/>
      <c r="I24" s="281">
        <f t="shared" si="5"/>
        <v>2891.62</v>
      </c>
      <c r="J24" s="281">
        <f t="shared" si="6"/>
        <v>96.60000000000001</v>
      </c>
      <c r="K24" s="281">
        <f t="shared" si="11"/>
        <v>2795.02</v>
      </c>
      <c r="L24" s="281">
        <f t="shared" si="12"/>
        <v>313</v>
      </c>
      <c r="M24" s="319">
        <v>188</v>
      </c>
      <c r="N24" s="319">
        <v>125</v>
      </c>
      <c r="O24" s="281">
        <f t="shared" si="7"/>
        <v>2607.02</v>
      </c>
      <c r="P24" s="283">
        <v>42</v>
      </c>
      <c r="Q24" s="283">
        <f t="shared" si="8"/>
        <v>966</v>
      </c>
      <c r="R24" s="283">
        <f t="shared" si="9"/>
        <v>0</v>
      </c>
      <c r="S24" s="281"/>
      <c r="T24" s="284"/>
      <c r="U24" s="285">
        <f t="shared" si="10"/>
        <v>2607.02</v>
      </c>
    </row>
    <row r="25" spans="1:21" ht="15.75">
      <c r="A25" s="273">
        <v>9</v>
      </c>
      <c r="B25" s="320" t="s">
        <v>336</v>
      </c>
      <c r="C25" s="321">
        <v>38</v>
      </c>
      <c r="D25" s="318">
        <v>36</v>
      </c>
      <c r="E25" s="281">
        <v>3673.82</v>
      </c>
      <c r="F25" s="281">
        <f t="shared" si="4"/>
        <v>1596</v>
      </c>
      <c r="G25" s="282"/>
      <c r="H25" s="281"/>
      <c r="I25" s="281">
        <f t="shared" si="5"/>
        <v>5269.82</v>
      </c>
      <c r="J25" s="281">
        <f t="shared" si="6"/>
        <v>159.60000000000002</v>
      </c>
      <c r="K25" s="281">
        <f t="shared" si="11"/>
        <v>5110.219999999999</v>
      </c>
      <c r="L25" s="281">
        <f t="shared" si="12"/>
        <v>567</v>
      </c>
      <c r="M25" s="319">
        <v>340</v>
      </c>
      <c r="N25" s="319">
        <v>227</v>
      </c>
      <c r="O25" s="281">
        <f t="shared" si="7"/>
        <v>4770.219999999999</v>
      </c>
      <c r="P25" s="283">
        <v>42</v>
      </c>
      <c r="Q25" s="283">
        <f t="shared" si="8"/>
        <v>1596</v>
      </c>
      <c r="R25" s="283">
        <f t="shared" si="9"/>
        <v>0</v>
      </c>
      <c r="S25" s="281"/>
      <c r="T25" s="284"/>
      <c r="U25" s="285">
        <f t="shared" si="10"/>
        <v>4770.219999999999</v>
      </c>
    </row>
    <row r="26" spans="1:21" ht="15.75">
      <c r="A26" s="286">
        <v>10</v>
      </c>
      <c r="B26" s="320" t="s">
        <v>337</v>
      </c>
      <c r="C26" s="321">
        <v>31</v>
      </c>
      <c r="D26" s="318">
        <v>32</v>
      </c>
      <c r="E26" s="281">
        <v>3421.48</v>
      </c>
      <c r="F26" s="281">
        <f t="shared" si="4"/>
        <v>1302</v>
      </c>
      <c r="G26" s="282"/>
      <c r="H26" s="281"/>
      <c r="I26" s="281">
        <f t="shared" si="5"/>
        <v>4723.48</v>
      </c>
      <c r="J26" s="281">
        <f t="shared" si="6"/>
        <v>130.20000000000002</v>
      </c>
      <c r="K26" s="281">
        <f t="shared" si="11"/>
        <v>4593.28</v>
      </c>
      <c r="L26" s="281">
        <f t="shared" si="12"/>
        <v>389</v>
      </c>
      <c r="M26" s="319">
        <v>233</v>
      </c>
      <c r="N26" s="319">
        <v>156</v>
      </c>
      <c r="O26" s="281">
        <f t="shared" si="7"/>
        <v>4360.28</v>
      </c>
      <c r="P26" s="283">
        <v>42</v>
      </c>
      <c r="Q26" s="283">
        <f t="shared" si="8"/>
        <v>1302</v>
      </c>
      <c r="R26" s="283">
        <f t="shared" si="9"/>
        <v>0</v>
      </c>
      <c r="S26" s="281"/>
      <c r="T26" s="284"/>
      <c r="U26" s="285">
        <f t="shared" si="10"/>
        <v>4360.28</v>
      </c>
    </row>
    <row r="27" spans="1:21" ht="15.75">
      <c r="A27" s="273">
        <v>11</v>
      </c>
      <c r="B27" s="320" t="s">
        <v>338</v>
      </c>
      <c r="C27" s="321">
        <v>25</v>
      </c>
      <c r="D27" s="318">
        <v>25</v>
      </c>
      <c r="E27" s="281">
        <v>2369.65</v>
      </c>
      <c r="F27" s="281">
        <f t="shared" si="4"/>
        <v>1050</v>
      </c>
      <c r="G27" s="282"/>
      <c r="H27" s="281"/>
      <c r="I27" s="281">
        <f t="shared" si="5"/>
        <v>3419.65</v>
      </c>
      <c r="J27" s="281">
        <f t="shared" si="6"/>
        <v>105</v>
      </c>
      <c r="K27" s="281">
        <f t="shared" si="11"/>
        <v>3314.65</v>
      </c>
      <c r="L27" s="281">
        <f t="shared" si="12"/>
        <v>357</v>
      </c>
      <c r="M27" s="319">
        <v>214</v>
      </c>
      <c r="N27" s="319">
        <v>143</v>
      </c>
      <c r="O27" s="281">
        <f t="shared" si="7"/>
        <v>3100.65</v>
      </c>
      <c r="P27" s="283">
        <v>42</v>
      </c>
      <c r="Q27" s="283">
        <f t="shared" si="8"/>
        <v>1050</v>
      </c>
      <c r="R27" s="283">
        <f t="shared" si="9"/>
        <v>0</v>
      </c>
      <c r="S27" s="281"/>
      <c r="T27" s="284"/>
      <c r="U27" s="285">
        <f t="shared" si="10"/>
        <v>3100.65</v>
      </c>
    </row>
    <row r="28" spans="1:21" ht="15.75">
      <c r="A28" s="286">
        <v>12</v>
      </c>
      <c r="B28" s="320" t="s">
        <v>339</v>
      </c>
      <c r="C28" s="321">
        <v>35</v>
      </c>
      <c r="D28" s="318">
        <v>34</v>
      </c>
      <c r="E28" s="281">
        <v>3744.62</v>
      </c>
      <c r="F28" s="281">
        <f t="shared" si="4"/>
        <v>1470</v>
      </c>
      <c r="G28" s="282"/>
      <c r="H28" s="281"/>
      <c r="I28" s="281">
        <f t="shared" si="5"/>
        <v>5214.62</v>
      </c>
      <c r="J28" s="281">
        <f t="shared" si="6"/>
        <v>147</v>
      </c>
      <c r="K28" s="281">
        <f t="shared" si="11"/>
        <v>5067.62</v>
      </c>
      <c r="L28" s="281">
        <f t="shared" si="12"/>
        <v>497</v>
      </c>
      <c r="M28" s="319">
        <v>298</v>
      </c>
      <c r="N28" s="319">
        <v>199</v>
      </c>
      <c r="O28" s="281">
        <f t="shared" si="7"/>
        <v>4769.62</v>
      </c>
      <c r="P28" s="283">
        <v>42</v>
      </c>
      <c r="Q28" s="283">
        <f t="shared" si="8"/>
        <v>1470</v>
      </c>
      <c r="R28" s="283">
        <f t="shared" si="9"/>
        <v>0</v>
      </c>
      <c r="S28" s="281"/>
      <c r="T28" s="284"/>
      <c r="U28" s="285">
        <f t="shared" si="10"/>
        <v>4769.62</v>
      </c>
    </row>
    <row r="29" spans="1:21" ht="15.75">
      <c r="A29" s="273">
        <v>13</v>
      </c>
      <c r="B29" s="320" t="s">
        <v>340</v>
      </c>
      <c r="C29" s="321">
        <v>18</v>
      </c>
      <c r="D29" s="318">
        <v>16</v>
      </c>
      <c r="E29" s="281">
        <v>1959.79</v>
      </c>
      <c r="F29" s="281">
        <f t="shared" si="4"/>
        <v>756</v>
      </c>
      <c r="G29" s="282"/>
      <c r="H29" s="281"/>
      <c r="I29" s="281">
        <f t="shared" si="5"/>
        <v>2715.79</v>
      </c>
      <c r="J29" s="281">
        <f t="shared" si="6"/>
        <v>75.60000000000001</v>
      </c>
      <c r="K29" s="281">
        <f t="shared" si="11"/>
        <v>2640.19</v>
      </c>
      <c r="L29" s="281">
        <f t="shared" si="12"/>
        <v>208</v>
      </c>
      <c r="M29" s="319">
        <v>125</v>
      </c>
      <c r="N29" s="319">
        <v>83</v>
      </c>
      <c r="O29" s="281">
        <f t="shared" si="7"/>
        <v>2515.19</v>
      </c>
      <c r="P29" s="283">
        <v>42</v>
      </c>
      <c r="Q29" s="283">
        <f t="shared" si="8"/>
        <v>756</v>
      </c>
      <c r="R29" s="283">
        <f t="shared" si="9"/>
        <v>0</v>
      </c>
      <c r="S29" s="281"/>
      <c r="T29" s="284"/>
      <c r="U29" s="285">
        <f t="shared" si="10"/>
        <v>2515.19</v>
      </c>
    </row>
    <row r="30" spans="1:21" ht="15.75">
      <c r="A30" s="286">
        <v>14</v>
      </c>
      <c r="B30" s="320" t="s">
        <v>341</v>
      </c>
      <c r="C30" s="321">
        <v>41</v>
      </c>
      <c r="D30" s="318">
        <v>39</v>
      </c>
      <c r="E30" s="281">
        <v>4778.04</v>
      </c>
      <c r="F30" s="281">
        <f t="shared" si="4"/>
        <v>1722</v>
      </c>
      <c r="G30" s="282"/>
      <c r="H30" s="281"/>
      <c r="I30" s="281">
        <f t="shared" si="5"/>
        <v>6500.04</v>
      </c>
      <c r="J30" s="281">
        <f t="shared" si="6"/>
        <v>172.20000000000002</v>
      </c>
      <c r="K30" s="281">
        <f t="shared" si="11"/>
        <v>6327.84</v>
      </c>
      <c r="L30" s="281">
        <f t="shared" si="12"/>
        <v>535</v>
      </c>
      <c r="M30" s="319">
        <v>321</v>
      </c>
      <c r="N30" s="319">
        <v>214</v>
      </c>
      <c r="O30" s="281">
        <f t="shared" si="7"/>
        <v>6006.84</v>
      </c>
      <c r="P30" s="283">
        <v>42</v>
      </c>
      <c r="Q30" s="283">
        <f t="shared" si="8"/>
        <v>1722</v>
      </c>
      <c r="R30" s="283">
        <f t="shared" si="9"/>
        <v>0</v>
      </c>
      <c r="S30" s="281"/>
      <c r="T30" s="284"/>
      <c r="U30" s="285">
        <f t="shared" si="10"/>
        <v>6006.84</v>
      </c>
    </row>
    <row r="31" spans="1:21" ht="15.75">
      <c r="A31" s="286">
        <v>16</v>
      </c>
      <c r="B31" s="320" t="s">
        <v>342</v>
      </c>
      <c r="C31" s="321">
        <v>25</v>
      </c>
      <c r="D31" s="318">
        <v>24</v>
      </c>
      <c r="E31" s="281">
        <v>2504.13</v>
      </c>
      <c r="F31" s="281">
        <f t="shared" si="4"/>
        <v>1050</v>
      </c>
      <c r="G31" s="282"/>
      <c r="H31" s="281"/>
      <c r="I31" s="281">
        <f t="shared" si="5"/>
        <v>3554.13</v>
      </c>
      <c r="J31" s="281">
        <f t="shared" si="6"/>
        <v>105</v>
      </c>
      <c r="K31" s="281">
        <f t="shared" si="11"/>
        <v>3449.13</v>
      </c>
      <c r="L31" s="281">
        <f t="shared" si="12"/>
        <v>297</v>
      </c>
      <c r="M31" s="319">
        <v>178</v>
      </c>
      <c r="N31" s="319">
        <v>119</v>
      </c>
      <c r="O31" s="281">
        <f t="shared" si="7"/>
        <v>3271.13</v>
      </c>
      <c r="P31" s="283">
        <v>42</v>
      </c>
      <c r="Q31" s="283">
        <f t="shared" si="8"/>
        <v>1050</v>
      </c>
      <c r="R31" s="283">
        <f t="shared" si="9"/>
        <v>0</v>
      </c>
      <c r="S31" s="281"/>
      <c r="T31" s="284"/>
      <c r="U31" s="285">
        <f t="shared" si="10"/>
        <v>3271.13</v>
      </c>
    </row>
    <row r="32" spans="1:21" ht="15.75">
      <c r="A32" s="273">
        <v>17</v>
      </c>
      <c r="B32" s="320" t="s">
        <v>343</v>
      </c>
      <c r="C32" s="321">
        <v>27</v>
      </c>
      <c r="D32" s="318">
        <v>23</v>
      </c>
      <c r="E32" s="281">
        <v>2458.72</v>
      </c>
      <c r="F32" s="281">
        <f t="shared" si="4"/>
        <v>1134</v>
      </c>
      <c r="G32" s="282"/>
      <c r="H32" s="281">
        <v>15</v>
      </c>
      <c r="I32" s="281">
        <f t="shared" si="5"/>
        <v>3607.72</v>
      </c>
      <c r="J32" s="281">
        <f t="shared" si="6"/>
        <v>113.4</v>
      </c>
      <c r="K32" s="281">
        <f t="shared" si="11"/>
        <v>3494.3199999999997</v>
      </c>
      <c r="L32" s="281">
        <f t="shared" si="12"/>
        <v>251</v>
      </c>
      <c r="M32" s="319">
        <v>151</v>
      </c>
      <c r="N32" s="319">
        <v>100</v>
      </c>
      <c r="O32" s="281">
        <f t="shared" si="7"/>
        <v>3343.3199999999997</v>
      </c>
      <c r="P32" s="283">
        <v>42</v>
      </c>
      <c r="Q32" s="283">
        <f t="shared" si="8"/>
        <v>1134</v>
      </c>
      <c r="R32" s="283">
        <f t="shared" si="9"/>
        <v>0</v>
      </c>
      <c r="S32" s="281"/>
      <c r="T32" s="284"/>
      <c r="U32" s="285">
        <f t="shared" si="10"/>
        <v>3343.3199999999997</v>
      </c>
    </row>
    <row r="33" spans="1:21" ht="15.75">
      <c r="A33" s="286">
        <v>18</v>
      </c>
      <c r="B33" s="320" t="s">
        <v>344</v>
      </c>
      <c r="C33" s="321">
        <v>20</v>
      </c>
      <c r="D33" s="318">
        <v>17</v>
      </c>
      <c r="E33" s="281">
        <v>1442.9</v>
      </c>
      <c r="F33" s="281">
        <f t="shared" si="4"/>
        <v>840</v>
      </c>
      <c r="G33" s="282"/>
      <c r="H33" s="281"/>
      <c r="I33" s="281">
        <f t="shared" si="5"/>
        <v>2282.9</v>
      </c>
      <c r="J33" s="281">
        <f t="shared" si="6"/>
        <v>84</v>
      </c>
      <c r="K33" s="281">
        <f t="shared" si="11"/>
        <v>2198.9</v>
      </c>
      <c r="L33" s="281">
        <f t="shared" si="12"/>
        <v>218</v>
      </c>
      <c r="M33" s="319">
        <v>131</v>
      </c>
      <c r="N33" s="319">
        <v>87</v>
      </c>
      <c r="O33" s="281">
        <f t="shared" si="7"/>
        <v>2067.9</v>
      </c>
      <c r="P33" s="283">
        <v>42</v>
      </c>
      <c r="Q33" s="283">
        <f t="shared" si="8"/>
        <v>840</v>
      </c>
      <c r="R33" s="283">
        <f t="shared" si="9"/>
        <v>0</v>
      </c>
      <c r="S33" s="281"/>
      <c r="T33" s="284"/>
      <c r="U33" s="285">
        <f t="shared" si="10"/>
        <v>2067.9</v>
      </c>
    </row>
    <row r="34" spans="1:21" s="35" customFormat="1" ht="15.75">
      <c r="A34" s="199" t="s">
        <v>312</v>
      </c>
      <c r="B34" s="305" t="s">
        <v>345</v>
      </c>
      <c r="C34" s="287">
        <f aca="true" t="shared" si="13" ref="C34:M34">SUM(C35:C52)</f>
        <v>613</v>
      </c>
      <c r="D34" s="287">
        <f t="shared" si="13"/>
        <v>593</v>
      </c>
      <c r="E34" s="306">
        <f t="shared" si="13"/>
        <v>79457.71999999999</v>
      </c>
      <c r="F34" s="306">
        <f t="shared" si="13"/>
        <v>14099</v>
      </c>
      <c r="G34" s="307">
        <f t="shared" si="13"/>
        <v>0</v>
      </c>
      <c r="H34" s="306">
        <f t="shared" si="13"/>
        <v>2349</v>
      </c>
      <c r="I34" s="306">
        <f t="shared" si="13"/>
        <v>95905.72</v>
      </c>
      <c r="J34" s="306">
        <f t="shared" si="13"/>
        <v>1409.9000000000003</v>
      </c>
      <c r="K34" s="306">
        <f t="shared" si="13"/>
        <v>94495.81999999999</v>
      </c>
      <c r="L34" s="306">
        <f t="shared" si="13"/>
        <v>0</v>
      </c>
      <c r="M34" s="306">
        <f t="shared" si="13"/>
        <v>0</v>
      </c>
      <c r="N34" s="306"/>
      <c r="O34" s="306">
        <f aca="true" t="shared" si="14" ref="O34:U34">SUM(O35:O52)</f>
        <v>94495.81999999999</v>
      </c>
      <c r="P34" s="308">
        <f t="shared" si="14"/>
        <v>414</v>
      </c>
      <c r="Q34" s="308">
        <f t="shared" si="14"/>
        <v>14099</v>
      </c>
      <c r="R34" s="306">
        <f t="shared" si="14"/>
        <v>0</v>
      </c>
      <c r="S34" s="306">
        <f t="shared" si="14"/>
        <v>0</v>
      </c>
      <c r="T34" s="306">
        <f t="shared" si="14"/>
        <v>0</v>
      </c>
      <c r="U34" s="306">
        <f t="shared" si="14"/>
        <v>94495.81999999999</v>
      </c>
    </row>
    <row r="35" spans="1:21" ht="15.75">
      <c r="A35" s="286">
        <v>1</v>
      </c>
      <c r="B35" s="320" t="s">
        <v>346</v>
      </c>
      <c r="C35" s="321">
        <v>20</v>
      </c>
      <c r="D35" s="321">
        <v>17</v>
      </c>
      <c r="E35" s="281">
        <v>2214.41</v>
      </c>
      <c r="F35" s="281">
        <f aca="true" t="shared" si="15" ref="F35:F52">P35*C35</f>
        <v>460</v>
      </c>
      <c r="G35" s="282"/>
      <c r="H35" s="319">
        <v>140</v>
      </c>
      <c r="I35" s="281">
        <f aca="true" t="shared" si="16" ref="I35:I52">E35+F35+G35+H35</f>
        <v>2814.41</v>
      </c>
      <c r="J35" s="281">
        <f>F35*10%</f>
        <v>46</v>
      </c>
      <c r="K35" s="281">
        <f t="shared" si="11"/>
        <v>2768.41</v>
      </c>
      <c r="L35" s="281">
        <f t="shared" si="12"/>
        <v>0</v>
      </c>
      <c r="M35" s="281"/>
      <c r="N35" s="281"/>
      <c r="O35" s="281">
        <f aca="true" t="shared" si="17" ref="O35:O52">K35-M35</f>
        <v>2768.41</v>
      </c>
      <c r="P35" s="283">
        <v>23</v>
      </c>
      <c r="Q35" s="283">
        <f aca="true" t="shared" si="18" ref="Q35:Q52">P35*C35</f>
        <v>460</v>
      </c>
      <c r="R35" s="283">
        <f aca="true" t="shared" si="19" ref="R35:R63">S35+T35</f>
        <v>0</v>
      </c>
      <c r="S35" s="281"/>
      <c r="T35" s="284"/>
      <c r="U35" s="285">
        <f aca="true" t="shared" si="20" ref="U35:U52">O35+S35</f>
        <v>2768.41</v>
      </c>
    </row>
    <row r="36" spans="1:21" ht="15.75">
      <c r="A36" s="286">
        <v>2</v>
      </c>
      <c r="B36" s="320" t="s">
        <v>347</v>
      </c>
      <c r="C36" s="321">
        <v>25</v>
      </c>
      <c r="D36" s="321">
        <v>23</v>
      </c>
      <c r="E36" s="281">
        <v>2974.38</v>
      </c>
      <c r="F36" s="281">
        <f t="shared" si="15"/>
        <v>575</v>
      </c>
      <c r="G36" s="282"/>
      <c r="H36" s="319">
        <v>150</v>
      </c>
      <c r="I36" s="281">
        <f t="shared" si="16"/>
        <v>3699.38</v>
      </c>
      <c r="J36" s="281">
        <f aca="true" t="shared" si="21" ref="J36:J52">F36*10%</f>
        <v>57.5</v>
      </c>
      <c r="K36" s="281">
        <f t="shared" si="11"/>
        <v>3641.88</v>
      </c>
      <c r="L36" s="281">
        <f t="shared" si="12"/>
        <v>0</v>
      </c>
      <c r="M36" s="281"/>
      <c r="N36" s="281"/>
      <c r="O36" s="281">
        <f t="shared" si="17"/>
        <v>3641.88</v>
      </c>
      <c r="P36" s="283">
        <v>23</v>
      </c>
      <c r="Q36" s="283">
        <f t="shared" si="18"/>
        <v>575</v>
      </c>
      <c r="R36" s="283">
        <f t="shared" si="19"/>
        <v>0</v>
      </c>
      <c r="S36" s="281"/>
      <c r="T36" s="284"/>
      <c r="U36" s="285">
        <f t="shared" si="20"/>
        <v>3641.88</v>
      </c>
    </row>
    <row r="37" spans="1:21" ht="15.75">
      <c r="A37" s="286">
        <v>3</v>
      </c>
      <c r="B37" s="320" t="s">
        <v>348</v>
      </c>
      <c r="C37" s="321">
        <v>46</v>
      </c>
      <c r="D37" s="321">
        <v>42</v>
      </c>
      <c r="E37" s="281">
        <v>5966.67</v>
      </c>
      <c r="F37" s="281">
        <f t="shared" si="15"/>
        <v>1058</v>
      </c>
      <c r="G37" s="282"/>
      <c r="H37" s="319">
        <v>150</v>
      </c>
      <c r="I37" s="281">
        <f t="shared" si="16"/>
        <v>7174.67</v>
      </c>
      <c r="J37" s="281">
        <f t="shared" si="21"/>
        <v>105.80000000000001</v>
      </c>
      <c r="K37" s="281">
        <f t="shared" si="11"/>
        <v>7068.87</v>
      </c>
      <c r="L37" s="281">
        <f t="shared" si="12"/>
        <v>0</v>
      </c>
      <c r="M37" s="281"/>
      <c r="N37" s="281"/>
      <c r="O37" s="281">
        <f t="shared" si="17"/>
        <v>7068.87</v>
      </c>
      <c r="P37" s="283">
        <v>23</v>
      </c>
      <c r="Q37" s="283">
        <f t="shared" si="18"/>
        <v>1058</v>
      </c>
      <c r="R37" s="283">
        <f t="shared" si="19"/>
        <v>0</v>
      </c>
      <c r="S37" s="281"/>
      <c r="T37" s="284"/>
      <c r="U37" s="285">
        <f t="shared" si="20"/>
        <v>7068.87</v>
      </c>
    </row>
    <row r="38" spans="1:21" ht="15.75">
      <c r="A38" s="286">
        <v>4</v>
      </c>
      <c r="B38" s="320" t="s">
        <v>349</v>
      </c>
      <c r="C38" s="321">
        <v>48</v>
      </c>
      <c r="D38" s="321">
        <v>51</v>
      </c>
      <c r="E38" s="281">
        <v>7066.95</v>
      </c>
      <c r="F38" s="281">
        <f t="shared" si="15"/>
        <v>1104</v>
      </c>
      <c r="G38" s="282"/>
      <c r="H38" s="319">
        <v>70</v>
      </c>
      <c r="I38" s="281">
        <f t="shared" si="16"/>
        <v>8240.95</v>
      </c>
      <c r="J38" s="281">
        <f t="shared" si="21"/>
        <v>110.4</v>
      </c>
      <c r="K38" s="281">
        <f t="shared" si="11"/>
        <v>8130.550000000001</v>
      </c>
      <c r="L38" s="281">
        <f t="shared" si="12"/>
        <v>0</v>
      </c>
      <c r="M38" s="281"/>
      <c r="N38" s="281"/>
      <c r="O38" s="281">
        <f t="shared" si="17"/>
        <v>8130.550000000001</v>
      </c>
      <c r="P38" s="283">
        <v>23</v>
      </c>
      <c r="Q38" s="283">
        <f t="shared" si="18"/>
        <v>1104</v>
      </c>
      <c r="R38" s="283">
        <f t="shared" si="19"/>
        <v>0</v>
      </c>
      <c r="S38" s="281"/>
      <c r="T38" s="284"/>
      <c r="U38" s="285">
        <f t="shared" si="20"/>
        <v>8130.550000000001</v>
      </c>
    </row>
    <row r="39" spans="1:21" ht="15.75">
      <c r="A39" s="286">
        <v>5</v>
      </c>
      <c r="B39" s="320" t="s">
        <v>350</v>
      </c>
      <c r="C39" s="321">
        <v>32</v>
      </c>
      <c r="D39" s="321">
        <v>31</v>
      </c>
      <c r="E39" s="281">
        <v>4374.67</v>
      </c>
      <c r="F39" s="281">
        <f t="shared" si="15"/>
        <v>736</v>
      </c>
      <c r="G39" s="282"/>
      <c r="H39" s="319">
        <v>160</v>
      </c>
      <c r="I39" s="281">
        <f t="shared" si="16"/>
        <v>5270.67</v>
      </c>
      <c r="J39" s="281">
        <f t="shared" si="21"/>
        <v>73.60000000000001</v>
      </c>
      <c r="K39" s="281">
        <f t="shared" si="11"/>
        <v>5197.07</v>
      </c>
      <c r="L39" s="281">
        <f t="shared" si="12"/>
        <v>0</v>
      </c>
      <c r="M39" s="281"/>
      <c r="N39" s="281"/>
      <c r="O39" s="281">
        <f t="shared" si="17"/>
        <v>5197.07</v>
      </c>
      <c r="P39" s="283">
        <v>23</v>
      </c>
      <c r="Q39" s="283">
        <f t="shared" si="18"/>
        <v>736</v>
      </c>
      <c r="R39" s="283">
        <f t="shared" si="19"/>
        <v>0</v>
      </c>
      <c r="S39" s="281"/>
      <c r="T39" s="284"/>
      <c r="U39" s="285">
        <f t="shared" si="20"/>
        <v>5197.07</v>
      </c>
    </row>
    <row r="40" spans="1:21" ht="15.75">
      <c r="A40" s="286">
        <v>6</v>
      </c>
      <c r="B40" s="320" t="s">
        <v>351</v>
      </c>
      <c r="C40" s="321">
        <v>46</v>
      </c>
      <c r="D40" s="321">
        <v>48</v>
      </c>
      <c r="E40" s="281">
        <v>6252.85</v>
      </c>
      <c r="F40" s="281">
        <f t="shared" si="15"/>
        <v>1058</v>
      </c>
      <c r="G40" s="282"/>
      <c r="H40" s="319">
        <v>100</v>
      </c>
      <c r="I40" s="281">
        <f t="shared" si="16"/>
        <v>7410.85</v>
      </c>
      <c r="J40" s="281">
        <f t="shared" si="21"/>
        <v>105.80000000000001</v>
      </c>
      <c r="K40" s="281">
        <f t="shared" si="11"/>
        <v>7305.05</v>
      </c>
      <c r="L40" s="281">
        <f t="shared" si="12"/>
        <v>0</v>
      </c>
      <c r="M40" s="281"/>
      <c r="N40" s="281"/>
      <c r="O40" s="281">
        <f t="shared" si="17"/>
        <v>7305.05</v>
      </c>
      <c r="P40" s="283">
        <v>23</v>
      </c>
      <c r="Q40" s="283">
        <f t="shared" si="18"/>
        <v>1058</v>
      </c>
      <c r="R40" s="283">
        <f t="shared" si="19"/>
        <v>0</v>
      </c>
      <c r="S40" s="281"/>
      <c r="T40" s="284"/>
      <c r="U40" s="285">
        <f t="shared" si="20"/>
        <v>7305.05</v>
      </c>
    </row>
    <row r="41" spans="1:21" ht="15.75">
      <c r="A41" s="286">
        <v>7</v>
      </c>
      <c r="B41" s="320" t="s">
        <v>352</v>
      </c>
      <c r="C41" s="321">
        <v>19</v>
      </c>
      <c r="D41" s="321">
        <v>16</v>
      </c>
      <c r="E41" s="281">
        <v>2105.27</v>
      </c>
      <c r="F41" s="281">
        <f t="shared" si="15"/>
        <v>437</v>
      </c>
      <c r="G41" s="282"/>
      <c r="H41" s="319"/>
      <c r="I41" s="281">
        <f t="shared" si="16"/>
        <v>2542.27</v>
      </c>
      <c r="J41" s="281">
        <f t="shared" si="21"/>
        <v>43.7</v>
      </c>
      <c r="K41" s="281">
        <f t="shared" si="11"/>
        <v>2498.57</v>
      </c>
      <c r="L41" s="281">
        <f t="shared" si="12"/>
        <v>0</v>
      </c>
      <c r="M41" s="281"/>
      <c r="N41" s="281"/>
      <c r="O41" s="281">
        <f t="shared" si="17"/>
        <v>2498.57</v>
      </c>
      <c r="P41" s="283">
        <v>23</v>
      </c>
      <c r="Q41" s="283">
        <f t="shared" si="18"/>
        <v>437</v>
      </c>
      <c r="R41" s="283">
        <f t="shared" si="19"/>
        <v>0</v>
      </c>
      <c r="S41" s="281"/>
      <c r="T41" s="284"/>
      <c r="U41" s="285">
        <f t="shared" si="20"/>
        <v>2498.57</v>
      </c>
    </row>
    <row r="42" spans="1:21" ht="15.75">
      <c r="A42" s="286">
        <v>8</v>
      </c>
      <c r="B42" s="320" t="s">
        <v>353</v>
      </c>
      <c r="C42" s="321">
        <v>34</v>
      </c>
      <c r="D42" s="321">
        <v>33</v>
      </c>
      <c r="E42" s="281">
        <v>4588.61</v>
      </c>
      <c r="F42" s="281">
        <f t="shared" si="15"/>
        <v>782</v>
      </c>
      <c r="G42" s="282"/>
      <c r="H42" s="319">
        <v>180</v>
      </c>
      <c r="I42" s="281">
        <f t="shared" si="16"/>
        <v>5550.61</v>
      </c>
      <c r="J42" s="281">
        <f t="shared" si="21"/>
        <v>78.2</v>
      </c>
      <c r="K42" s="281">
        <f t="shared" si="11"/>
        <v>5472.41</v>
      </c>
      <c r="L42" s="281">
        <f t="shared" si="12"/>
        <v>0</v>
      </c>
      <c r="M42" s="281"/>
      <c r="N42" s="281"/>
      <c r="O42" s="281">
        <f t="shared" si="17"/>
        <v>5472.41</v>
      </c>
      <c r="P42" s="283">
        <v>23</v>
      </c>
      <c r="Q42" s="283">
        <f t="shared" si="18"/>
        <v>782</v>
      </c>
      <c r="R42" s="283">
        <f t="shared" si="19"/>
        <v>0</v>
      </c>
      <c r="S42" s="281"/>
      <c r="T42" s="284"/>
      <c r="U42" s="285">
        <f t="shared" si="20"/>
        <v>5472.41</v>
      </c>
    </row>
    <row r="43" spans="1:21" ht="15.75">
      <c r="A43" s="286">
        <v>9</v>
      </c>
      <c r="B43" s="320" t="s">
        <v>354</v>
      </c>
      <c r="C43" s="321">
        <v>32</v>
      </c>
      <c r="D43" s="321">
        <v>28</v>
      </c>
      <c r="E43" s="281">
        <v>3626.07</v>
      </c>
      <c r="F43" s="281">
        <f t="shared" si="15"/>
        <v>736</v>
      </c>
      <c r="G43" s="282"/>
      <c r="H43" s="319">
        <v>70</v>
      </c>
      <c r="I43" s="281">
        <f t="shared" si="16"/>
        <v>4432.07</v>
      </c>
      <c r="J43" s="281">
        <f t="shared" si="21"/>
        <v>73.60000000000001</v>
      </c>
      <c r="K43" s="281">
        <f t="shared" si="11"/>
        <v>4358.469999999999</v>
      </c>
      <c r="L43" s="281">
        <f t="shared" si="12"/>
        <v>0</v>
      </c>
      <c r="M43" s="281"/>
      <c r="N43" s="281"/>
      <c r="O43" s="281">
        <f t="shared" si="17"/>
        <v>4358.469999999999</v>
      </c>
      <c r="P43" s="283">
        <v>23</v>
      </c>
      <c r="Q43" s="283">
        <f t="shared" si="18"/>
        <v>736</v>
      </c>
      <c r="R43" s="283">
        <f t="shared" si="19"/>
        <v>0</v>
      </c>
      <c r="S43" s="281"/>
      <c r="T43" s="284"/>
      <c r="U43" s="285">
        <f t="shared" si="20"/>
        <v>4358.469999999999</v>
      </c>
    </row>
    <row r="44" spans="1:21" ht="15.75">
      <c r="A44" s="286">
        <v>10</v>
      </c>
      <c r="B44" s="322" t="s">
        <v>355</v>
      </c>
      <c r="C44" s="321">
        <v>38</v>
      </c>
      <c r="D44" s="321">
        <v>36</v>
      </c>
      <c r="E44" s="281">
        <v>4476.63</v>
      </c>
      <c r="F44" s="281">
        <f t="shared" si="15"/>
        <v>874</v>
      </c>
      <c r="G44" s="282"/>
      <c r="H44" s="319">
        <v>72</v>
      </c>
      <c r="I44" s="281">
        <f t="shared" si="16"/>
        <v>5422.63</v>
      </c>
      <c r="J44" s="281">
        <f t="shared" si="21"/>
        <v>87.4</v>
      </c>
      <c r="K44" s="281">
        <f t="shared" si="11"/>
        <v>5335.2300000000005</v>
      </c>
      <c r="L44" s="281">
        <f t="shared" si="12"/>
        <v>0</v>
      </c>
      <c r="M44" s="281"/>
      <c r="N44" s="281"/>
      <c r="O44" s="281">
        <f t="shared" si="17"/>
        <v>5335.2300000000005</v>
      </c>
      <c r="P44" s="283">
        <v>23</v>
      </c>
      <c r="Q44" s="283">
        <f t="shared" si="18"/>
        <v>874</v>
      </c>
      <c r="R44" s="283">
        <f t="shared" si="19"/>
        <v>0</v>
      </c>
      <c r="S44" s="281"/>
      <c r="T44" s="284"/>
      <c r="U44" s="285">
        <f t="shared" si="20"/>
        <v>5335.2300000000005</v>
      </c>
    </row>
    <row r="45" spans="1:21" ht="15" customHeight="1">
      <c r="A45" s="286">
        <v>11</v>
      </c>
      <c r="B45" s="320" t="s">
        <v>356</v>
      </c>
      <c r="C45" s="321">
        <v>46</v>
      </c>
      <c r="D45" s="321">
        <v>42</v>
      </c>
      <c r="E45" s="281">
        <v>4978.21</v>
      </c>
      <c r="F45" s="281">
        <f t="shared" si="15"/>
        <v>1058</v>
      </c>
      <c r="G45" s="282"/>
      <c r="H45" s="319">
        <v>125</v>
      </c>
      <c r="I45" s="281">
        <f t="shared" si="16"/>
        <v>6161.21</v>
      </c>
      <c r="J45" s="281">
        <f t="shared" si="21"/>
        <v>105.80000000000001</v>
      </c>
      <c r="K45" s="281">
        <f t="shared" si="11"/>
        <v>6055.41</v>
      </c>
      <c r="L45" s="281">
        <f t="shared" si="12"/>
        <v>0</v>
      </c>
      <c r="M45" s="281"/>
      <c r="N45" s="281"/>
      <c r="O45" s="281">
        <f t="shared" si="17"/>
        <v>6055.41</v>
      </c>
      <c r="P45" s="283">
        <v>23</v>
      </c>
      <c r="Q45" s="283">
        <f t="shared" si="18"/>
        <v>1058</v>
      </c>
      <c r="R45" s="283">
        <f t="shared" si="19"/>
        <v>0</v>
      </c>
      <c r="S45" s="281"/>
      <c r="T45" s="284"/>
      <c r="U45" s="285">
        <f t="shared" si="20"/>
        <v>6055.41</v>
      </c>
    </row>
    <row r="46" spans="1:21" ht="15.75">
      <c r="A46" s="286">
        <v>12</v>
      </c>
      <c r="B46" s="320" t="s">
        <v>357</v>
      </c>
      <c r="C46" s="321">
        <v>38</v>
      </c>
      <c r="D46" s="321">
        <v>39</v>
      </c>
      <c r="E46" s="281">
        <v>5906.81</v>
      </c>
      <c r="F46" s="281">
        <f t="shared" si="15"/>
        <v>874</v>
      </c>
      <c r="G46" s="282"/>
      <c r="H46" s="319">
        <v>300</v>
      </c>
      <c r="I46" s="281">
        <f t="shared" si="16"/>
        <v>7080.81</v>
      </c>
      <c r="J46" s="281">
        <f t="shared" si="21"/>
        <v>87.4</v>
      </c>
      <c r="K46" s="281">
        <f t="shared" si="11"/>
        <v>6993.410000000001</v>
      </c>
      <c r="L46" s="281">
        <f t="shared" si="12"/>
        <v>0</v>
      </c>
      <c r="M46" s="281"/>
      <c r="N46" s="281"/>
      <c r="O46" s="281">
        <f t="shared" si="17"/>
        <v>6993.410000000001</v>
      </c>
      <c r="P46" s="283">
        <v>23</v>
      </c>
      <c r="Q46" s="283">
        <f t="shared" si="18"/>
        <v>874</v>
      </c>
      <c r="R46" s="283">
        <f t="shared" si="19"/>
        <v>0</v>
      </c>
      <c r="S46" s="281"/>
      <c r="T46" s="284"/>
      <c r="U46" s="285">
        <f t="shared" si="20"/>
        <v>6993.410000000001</v>
      </c>
    </row>
    <row r="47" spans="1:21" ht="15.75">
      <c r="A47" s="286">
        <v>13</v>
      </c>
      <c r="B47" s="320" t="s">
        <v>358</v>
      </c>
      <c r="C47" s="321">
        <v>37</v>
      </c>
      <c r="D47" s="321">
        <v>35</v>
      </c>
      <c r="E47" s="281">
        <v>4368.82</v>
      </c>
      <c r="F47" s="281">
        <f t="shared" si="15"/>
        <v>851</v>
      </c>
      <c r="G47" s="282"/>
      <c r="H47" s="319">
        <v>280</v>
      </c>
      <c r="I47" s="281">
        <f t="shared" si="16"/>
        <v>5499.82</v>
      </c>
      <c r="J47" s="281">
        <f t="shared" si="21"/>
        <v>85.10000000000001</v>
      </c>
      <c r="K47" s="281">
        <f t="shared" si="11"/>
        <v>5414.719999999999</v>
      </c>
      <c r="L47" s="281">
        <f t="shared" si="12"/>
        <v>0</v>
      </c>
      <c r="M47" s="281"/>
      <c r="N47" s="281"/>
      <c r="O47" s="281">
        <f t="shared" si="17"/>
        <v>5414.719999999999</v>
      </c>
      <c r="P47" s="283">
        <v>23</v>
      </c>
      <c r="Q47" s="283">
        <f t="shared" si="18"/>
        <v>851</v>
      </c>
      <c r="R47" s="283">
        <f t="shared" si="19"/>
        <v>0</v>
      </c>
      <c r="S47" s="281"/>
      <c r="T47" s="284"/>
      <c r="U47" s="285">
        <f t="shared" si="20"/>
        <v>5414.719999999999</v>
      </c>
    </row>
    <row r="48" spans="1:21" ht="15.75">
      <c r="A48" s="286">
        <v>14</v>
      </c>
      <c r="B48" s="320" t="s">
        <v>359</v>
      </c>
      <c r="C48" s="321">
        <v>29</v>
      </c>
      <c r="D48" s="321">
        <v>30</v>
      </c>
      <c r="E48" s="321">
        <v>4329.23</v>
      </c>
      <c r="F48" s="281">
        <f t="shared" si="15"/>
        <v>667</v>
      </c>
      <c r="G48" s="282"/>
      <c r="H48" s="319">
        <v>210</v>
      </c>
      <c r="I48" s="281">
        <f t="shared" si="16"/>
        <v>5206.23</v>
      </c>
      <c r="J48" s="281">
        <f t="shared" si="21"/>
        <v>66.7</v>
      </c>
      <c r="K48" s="281">
        <f t="shared" si="11"/>
        <v>5139.53</v>
      </c>
      <c r="L48" s="281">
        <f t="shared" si="12"/>
        <v>0</v>
      </c>
      <c r="M48" s="281"/>
      <c r="N48" s="281"/>
      <c r="O48" s="281">
        <f t="shared" si="17"/>
        <v>5139.53</v>
      </c>
      <c r="P48" s="283">
        <v>23</v>
      </c>
      <c r="Q48" s="283">
        <f t="shared" si="18"/>
        <v>667</v>
      </c>
      <c r="R48" s="283">
        <f t="shared" si="19"/>
        <v>0</v>
      </c>
      <c r="S48" s="281"/>
      <c r="T48" s="284"/>
      <c r="U48" s="285">
        <f t="shared" si="20"/>
        <v>5139.53</v>
      </c>
    </row>
    <row r="49" spans="1:21" ht="15.75">
      <c r="A49" s="286">
        <v>15</v>
      </c>
      <c r="B49" s="320" t="s">
        <v>360</v>
      </c>
      <c r="C49" s="321">
        <v>46</v>
      </c>
      <c r="D49" s="321">
        <v>49</v>
      </c>
      <c r="E49" s="281">
        <v>6958.61</v>
      </c>
      <c r="F49" s="281">
        <f t="shared" si="15"/>
        <v>1058</v>
      </c>
      <c r="G49" s="282"/>
      <c r="H49" s="319">
        <v>100</v>
      </c>
      <c r="I49" s="281">
        <f t="shared" si="16"/>
        <v>8116.61</v>
      </c>
      <c r="J49" s="281">
        <f t="shared" si="21"/>
        <v>105.80000000000001</v>
      </c>
      <c r="K49" s="281">
        <f t="shared" si="11"/>
        <v>8010.8099999999995</v>
      </c>
      <c r="L49" s="281">
        <f t="shared" si="12"/>
        <v>0</v>
      </c>
      <c r="M49" s="281"/>
      <c r="N49" s="281"/>
      <c r="O49" s="281">
        <f t="shared" si="17"/>
        <v>8010.8099999999995</v>
      </c>
      <c r="P49" s="283">
        <v>23</v>
      </c>
      <c r="Q49" s="283">
        <f t="shared" si="18"/>
        <v>1058</v>
      </c>
      <c r="R49" s="283">
        <f t="shared" si="19"/>
        <v>0</v>
      </c>
      <c r="S49" s="281"/>
      <c r="T49" s="284"/>
      <c r="U49" s="285">
        <f t="shared" si="20"/>
        <v>8010.8099999999995</v>
      </c>
    </row>
    <row r="50" spans="1:21" ht="15.75">
      <c r="A50" s="286">
        <v>16</v>
      </c>
      <c r="B50" s="320" t="s">
        <v>361</v>
      </c>
      <c r="C50" s="321">
        <v>33</v>
      </c>
      <c r="D50" s="321">
        <v>31</v>
      </c>
      <c r="E50" s="281">
        <v>3961.66</v>
      </c>
      <c r="F50" s="281">
        <f t="shared" si="15"/>
        <v>759</v>
      </c>
      <c r="G50" s="282"/>
      <c r="H50" s="319">
        <v>90</v>
      </c>
      <c r="I50" s="281">
        <f t="shared" si="16"/>
        <v>4810.66</v>
      </c>
      <c r="J50" s="281">
        <f t="shared" si="21"/>
        <v>75.9</v>
      </c>
      <c r="K50" s="281">
        <f t="shared" si="11"/>
        <v>4734.76</v>
      </c>
      <c r="L50" s="281">
        <f t="shared" si="12"/>
        <v>0</v>
      </c>
      <c r="M50" s="281"/>
      <c r="N50" s="281"/>
      <c r="O50" s="281">
        <f t="shared" si="17"/>
        <v>4734.76</v>
      </c>
      <c r="P50" s="283">
        <v>23</v>
      </c>
      <c r="Q50" s="283">
        <f t="shared" si="18"/>
        <v>759</v>
      </c>
      <c r="R50" s="283">
        <f t="shared" si="19"/>
        <v>0</v>
      </c>
      <c r="S50" s="281"/>
      <c r="T50" s="284"/>
      <c r="U50" s="285">
        <f t="shared" si="20"/>
        <v>4734.76</v>
      </c>
    </row>
    <row r="51" spans="1:21" ht="15.75">
      <c r="A51" s="286">
        <v>17</v>
      </c>
      <c r="B51" s="320" t="s">
        <v>362</v>
      </c>
      <c r="C51" s="321">
        <v>25</v>
      </c>
      <c r="D51" s="321">
        <v>24</v>
      </c>
      <c r="E51" s="281">
        <v>3103.87</v>
      </c>
      <c r="F51" s="281">
        <f t="shared" si="15"/>
        <v>575</v>
      </c>
      <c r="G51" s="282"/>
      <c r="H51" s="319">
        <v>60</v>
      </c>
      <c r="I51" s="281">
        <f t="shared" si="16"/>
        <v>3738.87</v>
      </c>
      <c r="J51" s="281">
        <f t="shared" si="21"/>
        <v>57.5</v>
      </c>
      <c r="K51" s="281">
        <f t="shared" si="11"/>
        <v>3681.37</v>
      </c>
      <c r="L51" s="281">
        <f t="shared" si="12"/>
        <v>0</v>
      </c>
      <c r="M51" s="281"/>
      <c r="N51" s="281"/>
      <c r="O51" s="281">
        <f t="shared" si="17"/>
        <v>3681.37</v>
      </c>
      <c r="P51" s="283">
        <v>23</v>
      </c>
      <c r="Q51" s="283">
        <f t="shared" si="18"/>
        <v>575</v>
      </c>
      <c r="R51" s="283">
        <f t="shared" si="19"/>
        <v>0</v>
      </c>
      <c r="S51" s="281"/>
      <c r="T51" s="284"/>
      <c r="U51" s="285">
        <f t="shared" si="20"/>
        <v>3681.37</v>
      </c>
    </row>
    <row r="52" spans="1:21" ht="15.75">
      <c r="A52" s="286">
        <v>18</v>
      </c>
      <c r="B52" s="320" t="s">
        <v>363</v>
      </c>
      <c r="C52" s="321">
        <v>19</v>
      </c>
      <c r="D52" s="321">
        <v>18</v>
      </c>
      <c r="E52" s="281">
        <v>2204</v>
      </c>
      <c r="F52" s="281">
        <f t="shared" si="15"/>
        <v>437</v>
      </c>
      <c r="G52" s="282"/>
      <c r="H52" s="319">
        <v>92</v>
      </c>
      <c r="I52" s="281">
        <f t="shared" si="16"/>
        <v>2733</v>
      </c>
      <c r="J52" s="281">
        <f t="shared" si="21"/>
        <v>43.7</v>
      </c>
      <c r="K52" s="281">
        <f t="shared" si="11"/>
        <v>2689.3</v>
      </c>
      <c r="L52" s="281">
        <f t="shared" si="12"/>
        <v>0</v>
      </c>
      <c r="M52" s="281"/>
      <c r="N52" s="281"/>
      <c r="O52" s="281">
        <f t="shared" si="17"/>
        <v>2689.3</v>
      </c>
      <c r="P52" s="283">
        <v>23</v>
      </c>
      <c r="Q52" s="283">
        <f t="shared" si="18"/>
        <v>437</v>
      </c>
      <c r="R52" s="283">
        <f t="shared" si="19"/>
        <v>0</v>
      </c>
      <c r="S52" s="281"/>
      <c r="T52" s="284"/>
      <c r="U52" s="285">
        <f t="shared" si="20"/>
        <v>2689.3</v>
      </c>
    </row>
    <row r="53" spans="1:22" s="35" customFormat="1" ht="15.75">
      <c r="A53" s="288" t="s">
        <v>381</v>
      </c>
      <c r="B53" s="289" t="s">
        <v>365</v>
      </c>
      <c r="C53" s="68">
        <f aca="true" t="shared" si="22" ref="C53:Q53">SUM(C54:C63)</f>
        <v>502</v>
      </c>
      <c r="D53" s="68">
        <f t="shared" si="22"/>
        <v>476</v>
      </c>
      <c r="E53" s="68">
        <f t="shared" si="22"/>
        <v>60718.100000000006</v>
      </c>
      <c r="F53" s="68">
        <f t="shared" si="22"/>
        <v>11546</v>
      </c>
      <c r="G53" s="80">
        <f t="shared" si="22"/>
        <v>0</v>
      </c>
      <c r="H53" s="68">
        <f t="shared" si="22"/>
        <v>1851</v>
      </c>
      <c r="I53" s="68">
        <f t="shared" si="22"/>
        <v>74115.1</v>
      </c>
      <c r="J53" s="68">
        <f t="shared" si="22"/>
        <v>1154.6</v>
      </c>
      <c r="K53" s="68">
        <f t="shared" si="22"/>
        <v>72960.5</v>
      </c>
      <c r="L53" s="68">
        <f t="shared" si="22"/>
        <v>5189</v>
      </c>
      <c r="M53" s="68">
        <f t="shared" si="22"/>
        <v>3113</v>
      </c>
      <c r="N53" s="68">
        <f t="shared" si="22"/>
        <v>2076</v>
      </c>
      <c r="O53" s="68">
        <f t="shared" si="22"/>
        <v>69847.5</v>
      </c>
      <c r="P53" s="296">
        <f t="shared" si="22"/>
        <v>230</v>
      </c>
      <c r="Q53" s="296">
        <f t="shared" si="22"/>
        <v>11546</v>
      </c>
      <c r="R53" s="68">
        <f t="shared" si="19"/>
        <v>148.8</v>
      </c>
      <c r="S53" s="68">
        <f>SUM(S54:S63)</f>
        <v>89.8</v>
      </c>
      <c r="T53" s="68">
        <f>SUM(T54:T63)</f>
        <v>59</v>
      </c>
      <c r="U53" s="68">
        <f>SUM(U54:U63)</f>
        <v>69757.70000000001</v>
      </c>
      <c r="V53" s="28"/>
    </row>
    <row r="54" spans="1:21" ht="15.75">
      <c r="A54" s="286">
        <v>1</v>
      </c>
      <c r="B54" s="320" t="s">
        <v>366</v>
      </c>
      <c r="C54" s="321">
        <v>36</v>
      </c>
      <c r="D54" s="321">
        <v>33</v>
      </c>
      <c r="E54" s="281">
        <v>3741.76</v>
      </c>
      <c r="F54" s="281">
        <f aca="true" t="shared" si="23" ref="F54:F63">(P54*C54)</f>
        <v>828</v>
      </c>
      <c r="G54" s="282"/>
      <c r="H54" s="319">
        <v>166</v>
      </c>
      <c r="I54" s="281">
        <f aca="true" t="shared" si="24" ref="I54:I63">E54+F54+G54+H54</f>
        <v>4735.76</v>
      </c>
      <c r="J54" s="281">
        <f>F54*10%</f>
        <v>82.80000000000001</v>
      </c>
      <c r="K54" s="281">
        <f t="shared" si="11"/>
        <v>4652.96</v>
      </c>
      <c r="L54" s="281">
        <f t="shared" si="12"/>
        <v>107</v>
      </c>
      <c r="M54" s="319">
        <v>64</v>
      </c>
      <c r="N54" s="319">
        <v>43</v>
      </c>
      <c r="O54" s="281">
        <f aca="true" t="shared" si="25" ref="O54:O63">K54-M54</f>
        <v>4588.96</v>
      </c>
      <c r="P54" s="283">
        <v>23</v>
      </c>
      <c r="Q54" s="283">
        <f aca="true" t="shared" si="26" ref="Q54:Q63">P54*C54</f>
        <v>828</v>
      </c>
      <c r="R54" s="281">
        <f t="shared" si="19"/>
        <v>17.799999999999997</v>
      </c>
      <c r="S54" s="281">
        <f>'THU DV'!F12</f>
        <v>10.799999999999999</v>
      </c>
      <c r="T54" s="323">
        <v>7</v>
      </c>
      <c r="U54" s="285">
        <f>O54-S54</f>
        <v>4578.16</v>
      </c>
    </row>
    <row r="55" spans="1:21" ht="15.75">
      <c r="A55" s="286">
        <v>2</v>
      </c>
      <c r="B55" s="320" t="s">
        <v>367</v>
      </c>
      <c r="C55" s="321">
        <v>34</v>
      </c>
      <c r="D55" s="321">
        <v>28</v>
      </c>
      <c r="E55" s="281">
        <v>3340.16</v>
      </c>
      <c r="F55" s="281">
        <f t="shared" si="23"/>
        <v>782</v>
      </c>
      <c r="G55" s="282"/>
      <c r="H55" s="319">
        <v>200</v>
      </c>
      <c r="I55" s="281">
        <f t="shared" si="24"/>
        <v>4322.16</v>
      </c>
      <c r="J55" s="281">
        <f aca="true" t="shared" si="27" ref="J55:J63">F55*10%</f>
        <v>78.2</v>
      </c>
      <c r="K55" s="281">
        <f t="shared" si="11"/>
        <v>4243.96</v>
      </c>
      <c r="L55" s="281">
        <f t="shared" si="12"/>
        <v>275</v>
      </c>
      <c r="M55" s="319">
        <v>165</v>
      </c>
      <c r="N55" s="319">
        <v>110</v>
      </c>
      <c r="O55" s="281">
        <f t="shared" si="25"/>
        <v>4078.96</v>
      </c>
      <c r="P55" s="283">
        <v>23</v>
      </c>
      <c r="Q55" s="283">
        <f t="shared" si="26"/>
        <v>782</v>
      </c>
      <c r="R55" s="281">
        <f t="shared" si="19"/>
        <v>5</v>
      </c>
      <c r="S55" s="281">
        <v>3</v>
      </c>
      <c r="T55" s="323">
        <v>2</v>
      </c>
      <c r="U55" s="285">
        <f aca="true" t="shared" si="28" ref="U55:U63">O55-S55</f>
        <v>4075.96</v>
      </c>
    </row>
    <row r="56" spans="1:21" ht="15.75">
      <c r="A56" s="286">
        <v>3</v>
      </c>
      <c r="B56" s="320" t="s">
        <v>368</v>
      </c>
      <c r="C56" s="321">
        <v>73</v>
      </c>
      <c r="D56" s="321">
        <v>76</v>
      </c>
      <c r="E56" s="281">
        <v>10455.99</v>
      </c>
      <c r="F56" s="281">
        <f t="shared" si="23"/>
        <v>1679</v>
      </c>
      <c r="G56" s="282"/>
      <c r="H56" s="319">
        <v>220</v>
      </c>
      <c r="I56" s="281">
        <f t="shared" si="24"/>
        <v>12354.99</v>
      </c>
      <c r="J56" s="281">
        <f t="shared" si="27"/>
        <v>167.9</v>
      </c>
      <c r="K56" s="281">
        <f t="shared" si="11"/>
        <v>12187.09</v>
      </c>
      <c r="L56" s="281">
        <f t="shared" si="12"/>
        <v>858</v>
      </c>
      <c r="M56" s="319">
        <v>515</v>
      </c>
      <c r="N56" s="319">
        <v>343</v>
      </c>
      <c r="O56" s="281">
        <f t="shared" si="25"/>
        <v>11672.09</v>
      </c>
      <c r="P56" s="283">
        <v>23</v>
      </c>
      <c r="Q56" s="283">
        <f t="shared" si="26"/>
        <v>1679</v>
      </c>
      <c r="R56" s="281">
        <f t="shared" si="19"/>
        <v>27</v>
      </c>
      <c r="S56" s="281">
        <v>16</v>
      </c>
      <c r="T56" s="323">
        <v>11</v>
      </c>
      <c r="U56" s="285">
        <f t="shared" si="28"/>
        <v>11656.09</v>
      </c>
    </row>
    <row r="57" spans="1:21" ht="15.75">
      <c r="A57" s="286">
        <v>4</v>
      </c>
      <c r="B57" s="320" t="s">
        <v>369</v>
      </c>
      <c r="C57" s="321">
        <v>59</v>
      </c>
      <c r="D57" s="321">
        <v>57</v>
      </c>
      <c r="E57" s="281">
        <v>7620</v>
      </c>
      <c r="F57" s="281">
        <f t="shared" si="23"/>
        <v>1357</v>
      </c>
      <c r="G57" s="282"/>
      <c r="H57" s="319">
        <v>300</v>
      </c>
      <c r="I57" s="281">
        <f t="shared" si="24"/>
        <v>9277</v>
      </c>
      <c r="J57" s="281">
        <f t="shared" si="27"/>
        <v>135.70000000000002</v>
      </c>
      <c r="K57" s="281">
        <f t="shared" si="11"/>
        <v>9141.3</v>
      </c>
      <c r="L57" s="281">
        <f t="shared" si="12"/>
        <v>710</v>
      </c>
      <c r="M57" s="319">
        <v>426</v>
      </c>
      <c r="N57" s="319">
        <v>284</v>
      </c>
      <c r="O57" s="281">
        <f t="shared" si="25"/>
        <v>8715.3</v>
      </c>
      <c r="P57" s="283">
        <v>23</v>
      </c>
      <c r="Q57" s="283">
        <f t="shared" si="26"/>
        <v>1357</v>
      </c>
      <c r="R57" s="281">
        <f t="shared" si="19"/>
        <v>12</v>
      </c>
      <c r="S57" s="281">
        <v>7</v>
      </c>
      <c r="T57" s="323">
        <v>5</v>
      </c>
      <c r="U57" s="285">
        <f t="shared" si="28"/>
        <v>8708.3</v>
      </c>
    </row>
    <row r="58" spans="1:21" ht="15.75">
      <c r="A58" s="286">
        <v>5</v>
      </c>
      <c r="B58" s="320" t="s">
        <v>370</v>
      </c>
      <c r="C58" s="321">
        <v>67</v>
      </c>
      <c r="D58" s="321">
        <v>66</v>
      </c>
      <c r="E58" s="281">
        <v>7902.63</v>
      </c>
      <c r="F58" s="281">
        <f t="shared" si="23"/>
        <v>1541</v>
      </c>
      <c r="G58" s="282"/>
      <c r="H58" s="319">
        <v>185</v>
      </c>
      <c r="I58" s="281">
        <f t="shared" si="24"/>
        <v>9628.630000000001</v>
      </c>
      <c r="J58" s="281">
        <f t="shared" si="27"/>
        <v>154.10000000000002</v>
      </c>
      <c r="K58" s="281">
        <f t="shared" si="11"/>
        <v>9474.53</v>
      </c>
      <c r="L58" s="281">
        <f t="shared" si="12"/>
        <v>880</v>
      </c>
      <c r="M58" s="319">
        <v>528</v>
      </c>
      <c r="N58" s="319">
        <v>352</v>
      </c>
      <c r="O58" s="281">
        <f t="shared" si="25"/>
        <v>8946.53</v>
      </c>
      <c r="P58" s="283">
        <v>23</v>
      </c>
      <c r="Q58" s="283">
        <f t="shared" si="26"/>
        <v>1541</v>
      </c>
      <c r="R58" s="281">
        <f t="shared" si="19"/>
        <v>18</v>
      </c>
      <c r="S58" s="281">
        <v>11</v>
      </c>
      <c r="T58" s="323">
        <v>7</v>
      </c>
      <c r="U58" s="285">
        <f t="shared" si="28"/>
        <v>8935.53</v>
      </c>
    </row>
    <row r="59" spans="1:21" ht="15.75">
      <c r="A59" s="286">
        <v>6</v>
      </c>
      <c r="B59" s="320" t="s">
        <v>371</v>
      </c>
      <c r="C59" s="321">
        <v>36</v>
      </c>
      <c r="D59" s="321">
        <v>34</v>
      </c>
      <c r="E59" s="281">
        <v>3852</v>
      </c>
      <c r="F59" s="281">
        <f t="shared" si="23"/>
        <v>828</v>
      </c>
      <c r="G59" s="282"/>
      <c r="H59" s="319">
        <v>40</v>
      </c>
      <c r="I59" s="281">
        <f t="shared" si="24"/>
        <v>4720</v>
      </c>
      <c r="J59" s="281">
        <f t="shared" si="27"/>
        <v>82.80000000000001</v>
      </c>
      <c r="K59" s="281">
        <f t="shared" si="11"/>
        <v>4637.2</v>
      </c>
      <c r="L59" s="281">
        <f t="shared" si="12"/>
        <v>363</v>
      </c>
      <c r="M59" s="319">
        <v>218</v>
      </c>
      <c r="N59" s="319">
        <v>145</v>
      </c>
      <c r="O59" s="281">
        <f t="shared" si="25"/>
        <v>4419.2</v>
      </c>
      <c r="P59" s="283">
        <v>23</v>
      </c>
      <c r="Q59" s="283">
        <f t="shared" si="26"/>
        <v>828</v>
      </c>
      <c r="R59" s="281">
        <f t="shared" si="19"/>
        <v>8</v>
      </c>
      <c r="S59" s="281">
        <v>5</v>
      </c>
      <c r="T59" s="323">
        <v>3</v>
      </c>
      <c r="U59" s="285">
        <f t="shared" si="28"/>
        <v>4414.2</v>
      </c>
    </row>
    <row r="60" spans="1:21" ht="15.75">
      <c r="A60" s="286">
        <v>7</v>
      </c>
      <c r="B60" s="320" t="s">
        <v>372</v>
      </c>
      <c r="C60" s="321">
        <v>39</v>
      </c>
      <c r="D60" s="321">
        <v>32</v>
      </c>
      <c r="E60" s="281">
        <v>3758.43</v>
      </c>
      <c r="F60" s="281">
        <f t="shared" si="23"/>
        <v>897</v>
      </c>
      <c r="G60" s="282"/>
      <c r="H60" s="319">
        <v>40</v>
      </c>
      <c r="I60" s="281">
        <f t="shared" si="24"/>
        <v>4695.43</v>
      </c>
      <c r="J60" s="281">
        <f t="shared" si="27"/>
        <v>89.7</v>
      </c>
      <c r="K60" s="281">
        <f t="shared" si="11"/>
        <v>4605.7300000000005</v>
      </c>
      <c r="L60" s="281">
        <f t="shared" si="12"/>
        <v>120</v>
      </c>
      <c r="M60" s="319">
        <v>72</v>
      </c>
      <c r="N60" s="319">
        <v>48</v>
      </c>
      <c r="O60" s="281">
        <f t="shared" si="25"/>
        <v>4533.7300000000005</v>
      </c>
      <c r="P60" s="283">
        <v>23</v>
      </c>
      <c r="Q60" s="283">
        <f t="shared" si="26"/>
        <v>897</v>
      </c>
      <c r="R60" s="281">
        <f t="shared" si="19"/>
        <v>11</v>
      </c>
      <c r="S60" s="281">
        <v>7</v>
      </c>
      <c r="T60" s="323">
        <v>4</v>
      </c>
      <c r="U60" s="285">
        <f t="shared" si="28"/>
        <v>4526.7300000000005</v>
      </c>
    </row>
    <row r="61" spans="1:21" ht="15.75">
      <c r="A61" s="286">
        <v>8</v>
      </c>
      <c r="B61" s="320" t="s">
        <v>373</v>
      </c>
      <c r="C61" s="321">
        <v>36</v>
      </c>
      <c r="D61" s="321">
        <v>34</v>
      </c>
      <c r="E61" s="281">
        <v>4544.92</v>
      </c>
      <c r="F61" s="281">
        <f t="shared" si="23"/>
        <v>828</v>
      </c>
      <c r="G61" s="282"/>
      <c r="H61" s="319">
        <v>250</v>
      </c>
      <c r="I61" s="281">
        <f t="shared" si="24"/>
        <v>5622.92</v>
      </c>
      <c r="J61" s="281">
        <f t="shared" si="27"/>
        <v>82.80000000000001</v>
      </c>
      <c r="K61" s="281">
        <f t="shared" si="11"/>
        <v>5540.12</v>
      </c>
      <c r="L61" s="281">
        <f t="shared" si="12"/>
        <v>427</v>
      </c>
      <c r="M61" s="319">
        <v>256</v>
      </c>
      <c r="N61" s="319">
        <v>171</v>
      </c>
      <c r="O61" s="281">
        <f t="shared" si="25"/>
        <v>5284.12</v>
      </c>
      <c r="P61" s="283">
        <v>23</v>
      </c>
      <c r="Q61" s="283">
        <f t="shared" si="26"/>
        <v>828</v>
      </c>
      <c r="R61" s="281">
        <f t="shared" si="19"/>
        <v>7</v>
      </c>
      <c r="S61" s="281">
        <v>4</v>
      </c>
      <c r="T61" s="323">
        <v>3</v>
      </c>
      <c r="U61" s="285">
        <f t="shared" si="28"/>
        <v>5280.12</v>
      </c>
    </row>
    <row r="62" spans="1:21" ht="15.75">
      <c r="A62" s="286">
        <v>9</v>
      </c>
      <c r="B62" s="320" t="s">
        <v>374</v>
      </c>
      <c r="C62" s="321">
        <v>86</v>
      </c>
      <c r="D62" s="321">
        <v>82</v>
      </c>
      <c r="E62" s="281">
        <v>10989.91</v>
      </c>
      <c r="F62" s="281">
        <f t="shared" si="23"/>
        <v>1978</v>
      </c>
      <c r="G62" s="282"/>
      <c r="H62" s="319">
        <v>400</v>
      </c>
      <c r="I62" s="281">
        <f t="shared" si="24"/>
        <v>13367.91</v>
      </c>
      <c r="J62" s="281">
        <f t="shared" si="27"/>
        <v>197.8</v>
      </c>
      <c r="K62" s="281">
        <f t="shared" si="11"/>
        <v>13170.11</v>
      </c>
      <c r="L62" s="281">
        <f t="shared" si="12"/>
        <v>1067</v>
      </c>
      <c r="M62" s="319">
        <v>640</v>
      </c>
      <c r="N62" s="319">
        <v>427</v>
      </c>
      <c r="O62" s="281">
        <f t="shared" si="25"/>
        <v>12530.11</v>
      </c>
      <c r="P62" s="283">
        <v>23</v>
      </c>
      <c r="Q62" s="283">
        <f t="shared" si="26"/>
        <v>1978</v>
      </c>
      <c r="R62" s="281">
        <f t="shared" si="19"/>
        <v>31</v>
      </c>
      <c r="S62" s="281">
        <v>19</v>
      </c>
      <c r="T62" s="323">
        <v>12</v>
      </c>
      <c r="U62" s="285">
        <f t="shared" si="28"/>
        <v>12511.11</v>
      </c>
    </row>
    <row r="63" spans="1:21" ht="15.75">
      <c r="A63" s="286">
        <v>10</v>
      </c>
      <c r="B63" s="320" t="s">
        <v>375</v>
      </c>
      <c r="C63" s="321">
        <v>36</v>
      </c>
      <c r="D63" s="321">
        <v>34</v>
      </c>
      <c r="E63" s="281">
        <v>4512.3</v>
      </c>
      <c r="F63" s="281">
        <f t="shared" si="23"/>
        <v>828</v>
      </c>
      <c r="G63" s="282"/>
      <c r="H63" s="319">
        <v>50</v>
      </c>
      <c r="I63" s="281">
        <f t="shared" si="24"/>
        <v>5390.3</v>
      </c>
      <c r="J63" s="281">
        <f t="shared" si="27"/>
        <v>82.80000000000001</v>
      </c>
      <c r="K63" s="281">
        <f t="shared" si="11"/>
        <v>5307.5</v>
      </c>
      <c r="L63" s="281">
        <f t="shared" si="12"/>
        <v>382</v>
      </c>
      <c r="M63" s="319">
        <v>229</v>
      </c>
      <c r="N63" s="319">
        <v>153</v>
      </c>
      <c r="O63" s="281">
        <f t="shared" si="25"/>
        <v>5078.5</v>
      </c>
      <c r="P63" s="283">
        <v>23</v>
      </c>
      <c r="Q63" s="283">
        <f t="shared" si="26"/>
        <v>828</v>
      </c>
      <c r="R63" s="281">
        <f t="shared" si="19"/>
        <v>12</v>
      </c>
      <c r="S63" s="281">
        <v>7</v>
      </c>
      <c r="T63" s="323">
        <v>5</v>
      </c>
      <c r="U63" s="285">
        <f t="shared" si="28"/>
        <v>5071.5</v>
      </c>
    </row>
    <row r="64" spans="1:21" s="35" customFormat="1" ht="37.5" customHeight="1">
      <c r="A64" s="15" t="s">
        <v>262</v>
      </c>
      <c r="B64" s="290" t="s">
        <v>684</v>
      </c>
      <c r="C64" s="291">
        <f>C65+C83+C102</f>
        <v>217</v>
      </c>
      <c r="D64" s="291">
        <f aca="true" t="shared" si="29" ref="D64:U64">D65+D83+D102</f>
        <v>213</v>
      </c>
      <c r="E64" s="291">
        <f t="shared" si="29"/>
        <v>0</v>
      </c>
      <c r="F64" s="291">
        <f t="shared" si="29"/>
        <v>0</v>
      </c>
      <c r="G64" s="291">
        <f t="shared" si="29"/>
        <v>0</v>
      </c>
      <c r="H64" s="291">
        <f t="shared" si="29"/>
        <v>0</v>
      </c>
      <c r="I64" s="291">
        <f t="shared" si="29"/>
        <v>0</v>
      </c>
      <c r="J64" s="291">
        <f t="shared" si="29"/>
        <v>0</v>
      </c>
      <c r="K64" s="291">
        <f t="shared" si="29"/>
        <v>0</v>
      </c>
      <c r="L64" s="291">
        <f t="shared" si="29"/>
        <v>0</v>
      </c>
      <c r="M64" s="291">
        <f t="shared" si="29"/>
        <v>0</v>
      </c>
      <c r="N64" s="291">
        <f t="shared" si="29"/>
        <v>0</v>
      </c>
      <c r="O64" s="291">
        <f t="shared" si="29"/>
        <v>0</v>
      </c>
      <c r="P64" s="297">
        <f t="shared" si="29"/>
        <v>0</v>
      </c>
      <c r="Q64" s="297">
        <f t="shared" si="29"/>
        <v>0</v>
      </c>
      <c r="R64" s="291">
        <f t="shared" si="29"/>
        <v>0</v>
      </c>
      <c r="S64" s="291">
        <f t="shared" si="29"/>
        <v>0</v>
      </c>
      <c r="T64" s="291">
        <f t="shared" si="29"/>
        <v>0</v>
      </c>
      <c r="U64" s="291">
        <f t="shared" si="29"/>
        <v>0</v>
      </c>
    </row>
    <row r="65" spans="1:21" ht="18" customHeight="1">
      <c r="A65" s="302" t="s">
        <v>311</v>
      </c>
      <c r="B65" s="309" t="s">
        <v>653</v>
      </c>
      <c r="C65" s="304">
        <f>SUM(C66:C82)</f>
        <v>152</v>
      </c>
      <c r="D65" s="304">
        <f aca="true" t="shared" si="30" ref="D65:U65">SUM(D66:D82)</f>
        <v>149</v>
      </c>
      <c r="E65" s="304">
        <f t="shared" si="30"/>
        <v>0</v>
      </c>
      <c r="F65" s="304">
        <f t="shared" si="30"/>
        <v>0</v>
      </c>
      <c r="G65" s="304">
        <f t="shared" si="30"/>
        <v>0</v>
      </c>
      <c r="H65" s="304">
        <f t="shared" si="30"/>
        <v>0</v>
      </c>
      <c r="I65" s="304">
        <f t="shared" si="30"/>
        <v>0</v>
      </c>
      <c r="J65" s="304">
        <f t="shared" si="30"/>
        <v>0</v>
      </c>
      <c r="K65" s="304">
        <f t="shared" si="30"/>
        <v>0</v>
      </c>
      <c r="L65" s="304">
        <f t="shared" si="30"/>
        <v>0</v>
      </c>
      <c r="M65" s="304">
        <f t="shared" si="30"/>
        <v>0</v>
      </c>
      <c r="N65" s="304">
        <f t="shared" si="30"/>
        <v>0</v>
      </c>
      <c r="O65" s="304">
        <f t="shared" si="30"/>
        <v>0</v>
      </c>
      <c r="P65" s="310">
        <f t="shared" si="30"/>
        <v>0</v>
      </c>
      <c r="Q65" s="310">
        <f t="shared" si="30"/>
        <v>0</v>
      </c>
      <c r="R65" s="304">
        <f t="shared" si="30"/>
        <v>0</v>
      </c>
      <c r="S65" s="304">
        <f t="shared" si="30"/>
        <v>0</v>
      </c>
      <c r="T65" s="304">
        <f t="shared" si="30"/>
        <v>0</v>
      </c>
      <c r="U65" s="304">
        <f t="shared" si="30"/>
        <v>0</v>
      </c>
    </row>
    <row r="66" spans="1:21" ht="15.75">
      <c r="A66" s="311">
        <v>1</v>
      </c>
      <c r="B66" s="324" t="s">
        <v>329</v>
      </c>
      <c r="C66" s="313">
        <v>9</v>
      </c>
      <c r="D66" s="313">
        <v>9</v>
      </c>
      <c r="E66" s="313"/>
      <c r="F66" s="281"/>
      <c r="G66" s="282"/>
      <c r="H66" s="283"/>
      <c r="I66" s="281">
        <f aca="true" t="shared" si="31" ref="I66:I82">E66+F66</f>
        <v>0</v>
      </c>
      <c r="J66" s="281"/>
      <c r="K66" s="281">
        <f aca="true" t="shared" si="32" ref="K66:K82">I66-J66</f>
        <v>0</v>
      </c>
      <c r="L66" s="281"/>
      <c r="M66" s="281"/>
      <c r="N66" s="281"/>
      <c r="O66" s="281">
        <f aca="true" t="shared" si="33" ref="O66:O82">K66-M66</f>
        <v>0</v>
      </c>
      <c r="P66" s="284"/>
      <c r="Q66" s="284"/>
      <c r="R66" s="283"/>
      <c r="S66" s="281"/>
      <c r="T66" s="284"/>
      <c r="U66" s="285">
        <f aca="true" t="shared" si="34" ref="U66:U82">O66+S66</f>
        <v>0</v>
      </c>
    </row>
    <row r="67" spans="1:21" ht="15.75">
      <c r="A67" s="311">
        <v>2</v>
      </c>
      <c r="B67" s="325" t="s">
        <v>328</v>
      </c>
      <c r="C67" s="313">
        <v>6</v>
      </c>
      <c r="D67" s="313">
        <v>5</v>
      </c>
      <c r="E67" s="313"/>
      <c r="F67" s="281"/>
      <c r="G67" s="282"/>
      <c r="H67" s="283"/>
      <c r="I67" s="281">
        <f t="shared" si="31"/>
        <v>0</v>
      </c>
      <c r="J67" s="281"/>
      <c r="K67" s="281">
        <f t="shared" si="32"/>
        <v>0</v>
      </c>
      <c r="L67" s="281"/>
      <c r="M67" s="281"/>
      <c r="N67" s="281"/>
      <c r="O67" s="281">
        <f t="shared" si="33"/>
        <v>0</v>
      </c>
      <c r="P67" s="284"/>
      <c r="Q67" s="284"/>
      <c r="R67" s="283"/>
      <c r="S67" s="281"/>
      <c r="T67" s="284"/>
      <c r="U67" s="285">
        <f t="shared" si="34"/>
        <v>0</v>
      </c>
    </row>
    <row r="68" spans="1:21" ht="15.75">
      <c r="A68" s="311">
        <v>3</v>
      </c>
      <c r="B68" s="325" t="s">
        <v>330</v>
      </c>
      <c r="C68" s="313">
        <v>9</v>
      </c>
      <c r="D68" s="313">
        <v>9</v>
      </c>
      <c r="E68" s="313"/>
      <c r="F68" s="281"/>
      <c r="G68" s="282"/>
      <c r="H68" s="283"/>
      <c r="I68" s="281">
        <f t="shared" si="31"/>
        <v>0</v>
      </c>
      <c r="J68" s="281"/>
      <c r="K68" s="281">
        <f t="shared" si="32"/>
        <v>0</v>
      </c>
      <c r="L68" s="281"/>
      <c r="M68" s="281"/>
      <c r="N68" s="281"/>
      <c r="O68" s="281">
        <f t="shared" si="33"/>
        <v>0</v>
      </c>
      <c r="P68" s="284"/>
      <c r="Q68" s="284"/>
      <c r="R68" s="283"/>
      <c r="S68" s="281"/>
      <c r="T68" s="284"/>
      <c r="U68" s="285">
        <f t="shared" si="34"/>
        <v>0</v>
      </c>
    </row>
    <row r="69" spans="1:21" ht="15.75">
      <c r="A69" s="311">
        <v>4</v>
      </c>
      <c r="B69" s="325" t="s">
        <v>331</v>
      </c>
      <c r="C69" s="313">
        <v>6</v>
      </c>
      <c r="D69" s="313">
        <v>6</v>
      </c>
      <c r="E69" s="313"/>
      <c r="F69" s="281"/>
      <c r="G69" s="282"/>
      <c r="H69" s="283"/>
      <c r="I69" s="281">
        <f t="shared" si="31"/>
        <v>0</v>
      </c>
      <c r="J69" s="281"/>
      <c r="K69" s="281">
        <f t="shared" si="32"/>
        <v>0</v>
      </c>
      <c r="L69" s="281"/>
      <c r="M69" s="281"/>
      <c r="N69" s="281"/>
      <c r="O69" s="281">
        <f t="shared" si="33"/>
        <v>0</v>
      </c>
      <c r="P69" s="284"/>
      <c r="Q69" s="284"/>
      <c r="R69" s="283"/>
      <c r="S69" s="281"/>
      <c r="T69" s="284"/>
      <c r="U69" s="285">
        <f t="shared" si="34"/>
        <v>0</v>
      </c>
    </row>
    <row r="70" spans="1:21" ht="15.75">
      <c r="A70" s="311">
        <v>5</v>
      </c>
      <c r="B70" s="324" t="s">
        <v>332</v>
      </c>
      <c r="C70" s="313">
        <v>10</v>
      </c>
      <c r="D70" s="313">
        <v>10</v>
      </c>
      <c r="E70" s="313"/>
      <c r="F70" s="281"/>
      <c r="G70" s="282"/>
      <c r="H70" s="283"/>
      <c r="I70" s="281">
        <f t="shared" si="31"/>
        <v>0</v>
      </c>
      <c r="J70" s="281"/>
      <c r="K70" s="281">
        <f t="shared" si="32"/>
        <v>0</v>
      </c>
      <c r="L70" s="281"/>
      <c r="M70" s="281"/>
      <c r="N70" s="281"/>
      <c r="O70" s="281">
        <f t="shared" si="33"/>
        <v>0</v>
      </c>
      <c r="P70" s="284"/>
      <c r="Q70" s="284"/>
      <c r="R70" s="283"/>
      <c r="S70" s="281"/>
      <c r="T70" s="284"/>
      <c r="U70" s="285">
        <f t="shared" si="34"/>
        <v>0</v>
      </c>
    </row>
    <row r="71" spans="1:21" ht="15.75">
      <c r="A71" s="311">
        <v>6</v>
      </c>
      <c r="B71" s="325" t="s">
        <v>333</v>
      </c>
      <c r="C71" s="313">
        <v>6</v>
      </c>
      <c r="D71" s="313">
        <v>6</v>
      </c>
      <c r="E71" s="313"/>
      <c r="F71" s="281"/>
      <c r="G71" s="282"/>
      <c r="H71" s="283"/>
      <c r="I71" s="281">
        <f t="shared" si="31"/>
        <v>0</v>
      </c>
      <c r="J71" s="281"/>
      <c r="K71" s="281">
        <f t="shared" si="32"/>
        <v>0</v>
      </c>
      <c r="L71" s="281"/>
      <c r="M71" s="281"/>
      <c r="N71" s="281"/>
      <c r="O71" s="281">
        <f t="shared" si="33"/>
        <v>0</v>
      </c>
      <c r="P71" s="284"/>
      <c r="Q71" s="284"/>
      <c r="R71" s="283"/>
      <c r="S71" s="281"/>
      <c r="T71" s="284"/>
      <c r="U71" s="285">
        <f t="shared" si="34"/>
        <v>0</v>
      </c>
    </row>
    <row r="72" spans="1:21" ht="15.75">
      <c r="A72" s="311">
        <v>7</v>
      </c>
      <c r="B72" s="326" t="s">
        <v>334</v>
      </c>
      <c r="C72" s="313">
        <v>13</v>
      </c>
      <c r="D72" s="313">
        <v>13</v>
      </c>
      <c r="E72" s="313"/>
      <c r="F72" s="281"/>
      <c r="G72" s="282"/>
      <c r="H72" s="283"/>
      <c r="I72" s="281">
        <f t="shared" si="31"/>
        <v>0</v>
      </c>
      <c r="J72" s="281"/>
      <c r="K72" s="281">
        <f t="shared" si="32"/>
        <v>0</v>
      </c>
      <c r="L72" s="281"/>
      <c r="M72" s="281"/>
      <c r="N72" s="281"/>
      <c r="O72" s="281">
        <f t="shared" si="33"/>
        <v>0</v>
      </c>
      <c r="P72" s="284"/>
      <c r="Q72" s="284"/>
      <c r="R72" s="283"/>
      <c r="S72" s="281"/>
      <c r="T72" s="284"/>
      <c r="U72" s="285">
        <f t="shared" si="34"/>
        <v>0</v>
      </c>
    </row>
    <row r="73" spans="1:21" ht="15.75">
      <c r="A73" s="311">
        <v>8</v>
      </c>
      <c r="B73" s="327" t="s">
        <v>335</v>
      </c>
      <c r="C73" s="313">
        <v>9</v>
      </c>
      <c r="D73" s="313">
        <v>9</v>
      </c>
      <c r="E73" s="313"/>
      <c r="F73" s="281"/>
      <c r="G73" s="282"/>
      <c r="H73" s="283"/>
      <c r="I73" s="281">
        <f t="shared" si="31"/>
        <v>0</v>
      </c>
      <c r="J73" s="281"/>
      <c r="K73" s="281">
        <f t="shared" si="32"/>
        <v>0</v>
      </c>
      <c r="L73" s="281"/>
      <c r="M73" s="281"/>
      <c r="N73" s="281"/>
      <c r="O73" s="281">
        <f t="shared" si="33"/>
        <v>0</v>
      </c>
      <c r="P73" s="284"/>
      <c r="Q73" s="284"/>
      <c r="R73" s="283"/>
      <c r="S73" s="281"/>
      <c r="T73" s="284"/>
      <c r="U73" s="285">
        <f t="shared" si="34"/>
        <v>0</v>
      </c>
    </row>
    <row r="74" spans="1:21" ht="15.75">
      <c r="A74" s="311">
        <v>9</v>
      </c>
      <c r="B74" s="327" t="s">
        <v>336</v>
      </c>
      <c r="C74" s="313">
        <v>10</v>
      </c>
      <c r="D74" s="313">
        <v>10</v>
      </c>
      <c r="E74" s="313"/>
      <c r="F74" s="281"/>
      <c r="G74" s="282"/>
      <c r="H74" s="283"/>
      <c r="I74" s="281">
        <f t="shared" si="31"/>
        <v>0</v>
      </c>
      <c r="J74" s="281"/>
      <c r="K74" s="281">
        <f t="shared" si="32"/>
        <v>0</v>
      </c>
      <c r="L74" s="281"/>
      <c r="M74" s="281"/>
      <c r="N74" s="281"/>
      <c r="O74" s="281">
        <f t="shared" si="33"/>
        <v>0</v>
      </c>
      <c r="P74" s="284"/>
      <c r="Q74" s="284"/>
      <c r="R74" s="283"/>
      <c r="S74" s="281"/>
      <c r="T74" s="284"/>
      <c r="U74" s="285">
        <f t="shared" si="34"/>
        <v>0</v>
      </c>
    </row>
    <row r="75" spans="1:21" ht="15.75">
      <c r="A75" s="311">
        <v>10</v>
      </c>
      <c r="B75" s="325" t="s">
        <v>337</v>
      </c>
      <c r="C75" s="313">
        <v>10</v>
      </c>
      <c r="D75" s="313">
        <v>10</v>
      </c>
      <c r="E75" s="313"/>
      <c r="F75" s="281"/>
      <c r="G75" s="282"/>
      <c r="H75" s="283"/>
      <c r="I75" s="281">
        <f t="shared" si="31"/>
        <v>0</v>
      </c>
      <c r="J75" s="281"/>
      <c r="K75" s="281">
        <f t="shared" si="32"/>
        <v>0</v>
      </c>
      <c r="L75" s="281"/>
      <c r="M75" s="281"/>
      <c r="N75" s="281"/>
      <c r="O75" s="281">
        <f t="shared" si="33"/>
        <v>0</v>
      </c>
      <c r="P75" s="284"/>
      <c r="Q75" s="284"/>
      <c r="R75" s="283"/>
      <c r="S75" s="281"/>
      <c r="T75" s="284"/>
      <c r="U75" s="285">
        <f t="shared" si="34"/>
        <v>0</v>
      </c>
    </row>
    <row r="76" spans="1:21" ht="15.75">
      <c r="A76" s="311">
        <v>11</v>
      </c>
      <c r="B76" s="324" t="s">
        <v>338</v>
      </c>
      <c r="C76" s="313">
        <v>10</v>
      </c>
      <c r="D76" s="313">
        <v>9</v>
      </c>
      <c r="E76" s="313"/>
      <c r="F76" s="281"/>
      <c r="G76" s="282"/>
      <c r="H76" s="283"/>
      <c r="I76" s="281">
        <f t="shared" si="31"/>
        <v>0</v>
      </c>
      <c r="J76" s="281"/>
      <c r="K76" s="281">
        <f t="shared" si="32"/>
        <v>0</v>
      </c>
      <c r="L76" s="281"/>
      <c r="M76" s="281"/>
      <c r="N76" s="281"/>
      <c r="O76" s="281">
        <f t="shared" si="33"/>
        <v>0</v>
      </c>
      <c r="P76" s="284"/>
      <c r="Q76" s="284"/>
      <c r="R76" s="283"/>
      <c r="S76" s="281"/>
      <c r="T76" s="284"/>
      <c r="U76" s="285">
        <f t="shared" si="34"/>
        <v>0</v>
      </c>
    </row>
    <row r="77" spans="1:21" ht="15.75">
      <c r="A77" s="311">
        <v>12</v>
      </c>
      <c r="B77" s="324" t="s">
        <v>654</v>
      </c>
      <c r="C77" s="313">
        <v>11</v>
      </c>
      <c r="D77" s="313">
        <v>11</v>
      </c>
      <c r="E77" s="313"/>
      <c r="F77" s="281"/>
      <c r="G77" s="282"/>
      <c r="H77" s="283"/>
      <c r="I77" s="281">
        <f t="shared" si="31"/>
        <v>0</v>
      </c>
      <c r="J77" s="281"/>
      <c r="K77" s="281">
        <f t="shared" si="32"/>
        <v>0</v>
      </c>
      <c r="L77" s="281"/>
      <c r="M77" s="281"/>
      <c r="N77" s="281"/>
      <c r="O77" s="281">
        <f t="shared" si="33"/>
        <v>0</v>
      </c>
      <c r="P77" s="284"/>
      <c r="Q77" s="284"/>
      <c r="R77" s="283"/>
      <c r="S77" s="281"/>
      <c r="T77" s="284"/>
      <c r="U77" s="285">
        <f t="shared" si="34"/>
        <v>0</v>
      </c>
    </row>
    <row r="78" spans="1:21" ht="15.75">
      <c r="A78" s="311">
        <v>13</v>
      </c>
      <c r="B78" s="325" t="s">
        <v>340</v>
      </c>
      <c r="C78" s="313">
        <v>8</v>
      </c>
      <c r="D78" s="313">
        <v>7</v>
      </c>
      <c r="E78" s="313"/>
      <c r="F78" s="281"/>
      <c r="G78" s="282"/>
      <c r="H78" s="283"/>
      <c r="I78" s="281">
        <f t="shared" si="31"/>
        <v>0</v>
      </c>
      <c r="J78" s="281"/>
      <c r="K78" s="281">
        <f t="shared" si="32"/>
        <v>0</v>
      </c>
      <c r="L78" s="281"/>
      <c r="M78" s="281"/>
      <c r="N78" s="281"/>
      <c r="O78" s="281">
        <f t="shared" si="33"/>
        <v>0</v>
      </c>
      <c r="P78" s="284"/>
      <c r="Q78" s="284"/>
      <c r="R78" s="283"/>
      <c r="S78" s="281"/>
      <c r="T78" s="284"/>
      <c r="U78" s="285">
        <f t="shared" si="34"/>
        <v>0</v>
      </c>
    </row>
    <row r="79" spans="1:21" ht="15.75">
      <c r="A79" s="311">
        <v>14</v>
      </c>
      <c r="B79" s="328" t="s">
        <v>655</v>
      </c>
      <c r="C79" s="313">
        <v>13</v>
      </c>
      <c r="D79" s="313">
        <v>13</v>
      </c>
      <c r="E79" s="313"/>
      <c r="F79" s="281"/>
      <c r="G79" s="282"/>
      <c r="H79" s="283"/>
      <c r="I79" s="281">
        <f t="shared" si="31"/>
        <v>0</v>
      </c>
      <c r="J79" s="281"/>
      <c r="K79" s="281">
        <f t="shared" si="32"/>
        <v>0</v>
      </c>
      <c r="L79" s="281"/>
      <c r="M79" s="281"/>
      <c r="N79" s="281"/>
      <c r="O79" s="281">
        <f t="shared" si="33"/>
        <v>0</v>
      </c>
      <c r="P79" s="284"/>
      <c r="Q79" s="284"/>
      <c r="R79" s="283"/>
      <c r="S79" s="281"/>
      <c r="T79" s="284"/>
      <c r="U79" s="285">
        <f t="shared" si="34"/>
        <v>0</v>
      </c>
    </row>
    <row r="80" spans="1:21" ht="15.75">
      <c r="A80" s="311">
        <v>15</v>
      </c>
      <c r="B80" s="325" t="s">
        <v>342</v>
      </c>
      <c r="C80" s="313">
        <v>7</v>
      </c>
      <c r="D80" s="313">
        <v>7</v>
      </c>
      <c r="E80" s="313"/>
      <c r="F80" s="281"/>
      <c r="G80" s="282"/>
      <c r="H80" s="283"/>
      <c r="I80" s="281">
        <f t="shared" si="31"/>
        <v>0</v>
      </c>
      <c r="J80" s="281"/>
      <c r="K80" s="281">
        <f t="shared" si="32"/>
        <v>0</v>
      </c>
      <c r="L80" s="281"/>
      <c r="M80" s="281"/>
      <c r="N80" s="281"/>
      <c r="O80" s="281">
        <f t="shared" si="33"/>
        <v>0</v>
      </c>
      <c r="P80" s="284"/>
      <c r="Q80" s="284"/>
      <c r="R80" s="283"/>
      <c r="S80" s="281"/>
      <c r="T80" s="284"/>
      <c r="U80" s="285">
        <f t="shared" si="34"/>
        <v>0</v>
      </c>
    </row>
    <row r="81" spans="1:21" ht="15.75">
      <c r="A81" s="311">
        <v>16</v>
      </c>
      <c r="B81" s="325" t="s">
        <v>343</v>
      </c>
      <c r="C81" s="313">
        <v>8</v>
      </c>
      <c r="D81" s="313">
        <v>8</v>
      </c>
      <c r="E81" s="313"/>
      <c r="F81" s="281"/>
      <c r="G81" s="282"/>
      <c r="H81" s="283"/>
      <c r="I81" s="281">
        <f t="shared" si="31"/>
        <v>0</v>
      </c>
      <c r="J81" s="281"/>
      <c r="K81" s="281">
        <f t="shared" si="32"/>
        <v>0</v>
      </c>
      <c r="L81" s="281"/>
      <c r="M81" s="281"/>
      <c r="N81" s="281"/>
      <c r="O81" s="281">
        <f t="shared" si="33"/>
        <v>0</v>
      </c>
      <c r="P81" s="284"/>
      <c r="Q81" s="284"/>
      <c r="R81" s="283"/>
      <c r="S81" s="281"/>
      <c r="T81" s="284"/>
      <c r="U81" s="285">
        <f t="shared" si="34"/>
        <v>0</v>
      </c>
    </row>
    <row r="82" spans="1:21" ht="15.75">
      <c r="A82" s="311">
        <v>17</v>
      </c>
      <c r="B82" s="325" t="s">
        <v>656</v>
      </c>
      <c r="C82" s="313">
        <v>7</v>
      </c>
      <c r="D82" s="313">
        <v>7</v>
      </c>
      <c r="E82" s="313"/>
      <c r="F82" s="281"/>
      <c r="G82" s="282"/>
      <c r="H82" s="283"/>
      <c r="I82" s="281">
        <f t="shared" si="31"/>
        <v>0</v>
      </c>
      <c r="J82" s="281"/>
      <c r="K82" s="281">
        <f t="shared" si="32"/>
        <v>0</v>
      </c>
      <c r="L82" s="281"/>
      <c r="M82" s="281"/>
      <c r="N82" s="281"/>
      <c r="O82" s="281">
        <f t="shared" si="33"/>
        <v>0</v>
      </c>
      <c r="P82" s="284"/>
      <c r="Q82" s="284"/>
      <c r="R82" s="283"/>
      <c r="S82" s="281"/>
      <c r="T82" s="284"/>
      <c r="U82" s="285">
        <f t="shared" si="34"/>
        <v>0</v>
      </c>
    </row>
    <row r="83" spans="1:21" ht="15.75">
      <c r="A83" s="302" t="s">
        <v>312</v>
      </c>
      <c r="B83" s="309" t="s">
        <v>345</v>
      </c>
      <c r="C83" s="304">
        <f aca="true" t="shared" si="35" ref="C83:U83">SUM(C84:C101)</f>
        <v>45</v>
      </c>
      <c r="D83" s="304">
        <f t="shared" si="35"/>
        <v>44</v>
      </c>
      <c r="E83" s="304">
        <f t="shared" si="35"/>
        <v>0</v>
      </c>
      <c r="F83" s="304">
        <f t="shared" si="35"/>
        <v>0</v>
      </c>
      <c r="G83" s="304">
        <f t="shared" si="35"/>
        <v>0</v>
      </c>
      <c r="H83" s="304">
        <f t="shared" si="35"/>
        <v>0</v>
      </c>
      <c r="I83" s="304">
        <f t="shared" si="35"/>
        <v>0</v>
      </c>
      <c r="J83" s="304">
        <f t="shared" si="35"/>
        <v>0</v>
      </c>
      <c r="K83" s="304">
        <f t="shared" si="35"/>
        <v>0</v>
      </c>
      <c r="L83" s="304">
        <f t="shared" si="35"/>
        <v>0</v>
      </c>
      <c r="M83" s="304">
        <f t="shared" si="35"/>
        <v>0</v>
      </c>
      <c r="N83" s="304">
        <f t="shared" si="35"/>
        <v>0</v>
      </c>
      <c r="O83" s="304">
        <f t="shared" si="35"/>
        <v>0</v>
      </c>
      <c r="P83" s="310">
        <f t="shared" si="35"/>
        <v>0</v>
      </c>
      <c r="Q83" s="310">
        <f t="shared" si="35"/>
        <v>0</v>
      </c>
      <c r="R83" s="304">
        <f t="shared" si="35"/>
        <v>0</v>
      </c>
      <c r="S83" s="304">
        <f t="shared" si="35"/>
        <v>0</v>
      </c>
      <c r="T83" s="304">
        <f t="shared" si="35"/>
        <v>0</v>
      </c>
      <c r="U83" s="304">
        <f t="shared" si="35"/>
        <v>0</v>
      </c>
    </row>
    <row r="84" spans="1:21" ht="15.75">
      <c r="A84" s="311">
        <v>1</v>
      </c>
      <c r="B84" s="325" t="s">
        <v>346</v>
      </c>
      <c r="C84" s="313">
        <v>2</v>
      </c>
      <c r="D84" s="313">
        <v>2</v>
      </c>
      <c r="E84" s="313"/>
      <c r="F84" s="281"/>
      <c r="G84" s="282"/>
      <c r="H84" s="283"/>
      <c r="I84" s="281">
        <f aca="true" t="shared" si="36" ref="I84:I101">E84+F84</f>
        <v>0</v>
      </c>
      <c r="J84" s="281"/>
      <c r="K84" s="281">
        <f aca="true" t="shared" si="37" ref="K84:K101">I84-J84</f>
        <v>0</v>
      </c>
      <c r="L84" s="281"/>
      <c r="M84" s="281"/>
      <c r="N84" s="281"/>
      <c r="O84" s="281">
        <f aca="true" t="shared" si="38" ref="O84:O101">K84-M84</f>
        <v>0</v>
      </c>
      <c r="P84" s="284"/>
      <c r="Q84" s="284"/>
      <c r="R84" s="283"/>
      <c r="S84" s="281"/>
      <c r="T84" s="284"/>
      <c r="U84" s="285">
        <f aca="true" t="shared" si="39" ref="U84:U101">O84+S84</f>
        <v>0</v>
      </c>
    </row>
    <row r="85" spans="1:21" ht="15.75">
      <c r="A85" s="311">
        <v>2</v>
      </c>
      <c r="B85" s="325" t="s">
        <v>347</v>
      </c>
      <c r="C85" s="313">
        <v>3</v>
      </c>
      <c r="D85" s="313">
        <v>3</v>
      </c>
      <c r="E85" s="313"/>
      <c r="F85" s="281"/>
      <c r="G85" s="282"/>
      <c r="H85" s="283"/>
      <c r="I85" s="281">
        <f t="shared" si="36"/>
        <v>0</v>
      </c>
      <c r="J85" s="281"/>
      <c r="K85" s="281">
        <f t="shared" si="37"/>
        <v>0</v>
      </c>
      <c r="L85" s="281"/>
      <c r="M85" s="281"/>
      <c r="N85" s="281"/>
      <c r="O85" s="281">
        <f t="shared" si="38"/>
        <v>0</v>
      </c>
      <c r="P85" s="284"/>
      <c r="Q85" s="284"/>
      <c r="R85" s="283"/>
      <c r="S85" s="281"/>
      <c r="T85" s="284"/>
      <c r="U85" s="285">
        <f t="shared" si="39"/>
        <v>0</v>
      </c>
    </row>
    <row r="86" spans="1:21" ht="15.75">
      <c r="A86" s="311">
        <v>3</v>
      </c>
      <c r="B86" s="325" t="s">
        <v>657</v>
      </c>
      <c r="C86" s="313">
        <v>2</v>
      </c>
      <c r="D86" s="313">
        <v>2</v>
      </c>
      <c r="E86" s="313"/>
      <c r="F86" s="281"/>
      <c r="G86" s="282"/>
      <c r="H86" s="283"/>
      <c r="I86" s="281">
        <f t="shared" si="36"/>
        <v>0</v>
      </c>
      <c r="J86" s="281"/>
      <c r="K86" s="281">
        <f t="shared" si="37"/>
        <v>0</v>
      </c>
      <c r="L86" s="281"/>
      <c r="M86" s="281"/>
      <c r="N86" s="281"/>
      <c r="O86" s="281">
        <f t="shared" si="38"/>
        <v>0</v>
      </c>
      <c r="P86" s="284"/>
      <c r="Q86" s="284"/>
      <c r="R86" s="283"/>
      <c r="S86" s="281"/>
      <c r="T86" s="284"/>
      <c r="U86" s="285">
        <f t="shared" si="39"/>
        <v>0</v>
      </c>
    </row>
    <row r="87" spans="1:21" ht="15.75">
      <c r="A87" s="311">
        <v>4</v>
      </c>
      <c r="B87" s="325" t="s">
        <v>349</v>
      </c>
      <c r="C87" s="313">
        <v>2</v>
      </c>
      <c r="D87" s="313">
        <v>2</v>
      </c>
      <c r="E87" s="313"/>
      <c r="F87" s="281"/>
      <c r="G87" s="282"/>
      <c r="H87" s="283"/>
      <c r="I87" s="281">
        <f t="shared" si="36"/>
        <v>0</v>
      </c>
      <c r="J87" s="281"/>
      <c r="K87" s="281">
        <f t="shared" si="37"/>
        <v>0</v>
      </c>
      <c r="L87" s="281"/>
      <c r="M87" s="281"/>
      <c r="N87" s="281"/>
      <c r="O87" s="281">
        <f t="shared" si="38"/>
        <v>0</v>
      </c>
      <c r="P87" s="284"/>
      <c r="Q87" s="284"/>
      <c r="R87" s="283"/>
      <c r="S87" s="281"/>
      <c r="T87" s="284"/>
      <c r="U87" s="285">
        <f t="shared" si="39"/>
        <v>0</v>
      </c>
    </row>
    <row r="88" spans="1:21" ht="15.75">
      <c r="A88" s="311">
        <v>5</v>
      </c>
      <c r="B88" s="325" t="s">
        <v>658</v>
      </c>
      <c r="C88" s="313">
        <v>1</v>
      </c>
      <c r="D88" s="313">
        <v>1</v>
      </c>
      <c r="E88" s="313"/>
      <c r="F88" s="281"/>
      <c r="G88" s="282"/>
      <c r="H88" s="283"/>
      <c r="I88" s="281">
        <f t="shared" si="36"/>
        <v>0</v>
      </c>
      <c r="J88" s="281"/>
      <c r="K88" s="281">
        <f t="shared" si="37"/>
        <v>0</v>
      </c>
      <c r="L88" s="281"/>
      <c r="M88" s="281"/>
      <c r="N88" s="281"/>
      <c r="O88" s="281">
        <f t="shared" si="38"/>
        <v>0</v>
      </c>
      <c r="P88" s="284"/>
      <c r="Q88" s="284"/>
      <c r="R88" s="283"/>
      <c r="S88" s="281"/>
      <c r="T88" s="284"/>
      <c r="U88" s="285">
        <f t="shared" si="39"/>
        <v>0</v>
      </c>
    </row>
    <row r="89" spans="1:21" ht="15.75">
      <c r="A89" s="311">
        <v>6</v>
      </c>
      <c r="B89" s="325" t="s">
        <v>351</v>
      </c>
      <c r="C89" s="313">
        <v>2</v>
      </c>
      <c r="D89" s="313">
        <v>2</v>
      </c>
      <c r="E89" s="313"/>
      <c r="F89" s="281"/>
      <c r="G89" s="282"/>
      <c r="H89" s="283"/>
      <c r="I89" s="281">
        <f t="shared" si="36"/>
        <v>0</v>
      </c>
      <c r="J89" s="281"/>
      <c r="K89" s="281">
        <f t="shared" si="37"/>
        <v>0</v>
      </c>
      <c r="L89" s="281"/>
      <c r="M89" s="281"/>
      <c r="N89" s="281"/>
      <c r="O89" s="281">
        <f t="shared" si="38"/>
        <v>0</v>
      </c>
      <c r="P89" s="284"/>
      <c r="Q89" s="284"/>
      <c r="R89" s="283"/>
      <c r="S89" s="281"/>
      <c r="T89" s="284"/>
      <c r="U89" s="285">
        <f t="shared" si="39"/>
        <v>0</v>
      </c>
    </row>
    <row r="90" spans="1:21" ht="15.75">
      <c r="A90" s="311">
        <v>7</v>
      </c>
      <c r="B90" s="325" t="s">
        <v>352</v>
      </c>
      <c r="C90" s="313">
        <v>3</v>
      </c>
      <c r="D90" s="313">
        <v>2</v>
      </c>
      <c r="E90" s="313"/>
      <c r="F90" s="281"/>
      <c r="G90" s="282"/>
      <c r="H90" s="283"/>
      <c r="I90" s="281">
        <f t="shared" si="36"/>
        <v>0</v>
      </c>
      <c r="J90" s="281"/>
      <c r="K90" s="281">
        <f t="shared" si="37"/>
        <v>0</v>
      </c>
      <c r="L90" s="281"/>
      <c r="M90" s="281"/>
      <c r="N90" s="281"/>
      <c r="O90" s="281">
        <f t="shared" si="38"/>
        <v>0</v>
      </c>
      <c r="P90" s="284"/>
      <c r="Q90" s="284"/>
      <c r="R90" s="283"/>
      <c r="S90" s="281"/>
      <c r="T90" s="284"/>
      <c r="U90" s="285">
        <f t="shared" si="39"/>
        <v>0</v>
      </c>
    </row>
    <row r="91" spans="1:21" ht="15.75">
      <c r="A91" s="311">
        <v>8</v>
      </c>
      <c r="B91" s="325" t="s">
        <v>353</v>
      </c>
      <c r="C91" s="313">
        <v>3</v>
      </c>
      <c r="D91" s="313">
        <v>3</v>
      </c>
      <c r="E91" s="313"/>
      <c r="F91" s="281"/>
      <c r="G91" s="282"/>
      <c r="H91" s="283"/>
      <c r="I91" s="281">
        <f t="shared" si="36"/>
        <v>0</v>
      </c>
      <c r="J91" s="281"/>
      <c r="K91" s="281">
        <f t="shared" si="37"/>
        <v>0</v>
      </c>
      <c r="L91" s="281"/>
      <c r="M91" s="281"/>
      <c r="N91" s="281"/>
      <c r="O91" s="281">
        <f t="shared" si="38"/>
        <v>0</v>
      </c>
      <c r="P91" s="284"/>
      <c r="Q91" s="284"/>
      <c r="R91" s="283"/>
      <c r="S91" s="281"/>
      <c r="T91" s="284"/>
      <c r="U91" s="285">
        <f t="shared" si="39"/>
        <v>0</v>
      </c>
    </row>
    <row r="92" spans="1:21" ht="15.75">
      <c r="A92" s="311">
        <v>9</v>
      </c>
      <c r="B92" s="325" t="s">
        <v>354</v>
      </c>
      <c r="C92" s="313">
        <v>2</v>
      </c>
      <c r="D92" s="313">
        <v>2</v>
      </c>
      <c r="E92" s="313"/>
      <c r="F92" s="281"/>
      <c r="G92" s="282"/>
      <c r="H92" s="283"/>
      <c r="I92" s="281">
        <f t="shared" si="36"/>
        <v>0</v>
      </c>
      <c r="J92" s="281"/>
      <c r="K92" s="281">
        <f t="shared" si="37"/>
        <v>0</v>
      </c>
      <c r="L92" s="281"/>
      <c r="M92" s="281"/>
      <c r="N92" s="281"/>
      <c r="O92" s="281">
        <f t="shared" si="38"/>
        <v>0</v>
      </c>
      <c r="P92" s="284"/>
      <c r="Q92" s="284"/>
      <c r="R92" s="283"/>
      <c r="S92" s="281"/>
      <c r="T92" s="284"/>
      <c r="U92" s="285">
        <f t="shared" si="39"/>
        <v>0</v>
      </c>
    </row>
    <row r="93" spans="1:21" ht="15.75">
      <c r="A93" s="311">
        <v>10</v>
      </c>
      <c r="B93" s="325" t="s">
        <v>355</v>
      </c>
      <c r="C93" s="313">
        <v>3</v>
      </c>
      <c r="D93" s="313">
        <v>3</v>
      </c>
      <c r="E93" s="313"/>
      <c r="F93" s="281"/>
      <c r="G93" s="282"/>
      <c r="H93" s="283"/>
      <c r="I93" s="281">
        <f t="shared" si="36"/>
        <v>0</v>
      </c>
      <c r="J93" s="281"/>
      <c r="K93" s="281">
        <f t="shared" si="37"/>
        <v>0</v>
      </c>
      <c r="L93" s="281"/>
      <c r="M93" s="281"/>
      <c r="N93" s="281"/>
      <c r="O93" s="281">
        <f t="shared" si="38"/>
        <v>0</v>
      </c>
      <c r="P93" s="284"/>
      <c r="Q93" s="284"/>
      <c r="R93" s="283"/>
      <c r="S93" s="281"/>
      <c r="T93" s="284"/>
      <c r="U93" s="285">
        <f t="shared" si="39"/>
        <v>0</v>
      </c>
    </row>
    <row r="94" spans="1:21" ht="15.75">
      <c r="A94" s="311">
        <v>11</v>
      </c>
      <c r="B94" s="325" t="s">
        <v>356</v>
      </c>
      <c r="C94" s="313">
        <v>3</v>
      </c>
      <c r="D94" s="313">
        <v>3</v>
      </c>
      <c r="E94" s="313"/>
      <c r="F94" s="281"/>
      <c r="G94" s="282"/>
      <c r="H94" s="283"/>
      <c r="I94" s="281">
        <f t="shared" si="36"/>
        <v>0</v>
      </c>
      <c r="J94" s="281"/>
      <c r="K94" s="281">
        <f t="shared" si="37"/>
        <v>0</v>
      </c>
      <c r="L94" s="281"/>
      <c r="M94" s="281"/>
      <c r="N94" s="281"/>
      <c r="O94" s="281">
        <f t="shared" si="38"/>
        <v>0</v>
      </c>
      <c r="P94" s="284"/>
      <c r="Q94" s="284"/>
      <c r="R94" s="283"/>
      <c r="S94" s="281"/>
      <c r="T94" s="284"/>
      <c r="U94" s="285">
        <f t="shared" si="39"/>
        <v>0</v>
      </c>
    </row>
    <row r="95" spans="1:21" ht="15.75">
      <c r="A95" s="311">
        <v>12</v>
      </c>
      <c r="B95" s="325" t="s">
        <v>357</v>
      </c>
      <c r="C95" s="313">
        <v>3</v>
      </c>
      <c r="D95" s="313">
        <v>3</v>
      </c>
      <c r="E95" s="313"/>
      <c r="F95" s="281"/>
      <c r="G95" s="282"/>
      <c r="H95" s="283"/>
      <c r="I95" s="281">
        <f t="shared" si="36"/>
        <v>0</v>
      </c>
      <c r="J95" s="281"/>
      <c r="K95" s="281">
        <f t="shared" si="37"/>
        <v>0</v>
      </c>
      <c r="L95" s="281"/>
      <c r="M95" s="281"/>
      <c r="N95" s="281"/>
      <c r="O95" s="281">
        <f t="shared" si="38"/>
        <v>0</v>
      </c>
      <c r="P95" s="284"/>
      <c r="Q95" s="284"/>
      <c r="R95" s="283"/>
      <c r="S95" s="281"/>
      <c r="T95" s="284"/>
      <c r="U95" s="285">
        <f t="shared" si="39"/>
        <v>0</v>
      </c>
    </row>
    <row r="96" spans="1:21" ht="15.75">
      <c r="A96" s="311">
        <v>13</v>
      </c>
      <c r="B96" s="325" t="s">
        <v>358</v>
      </c>
      <c r="C96" s="313">
        <v>3</v>
      </c>
      <c r="D96" s="313">
        <v>3</v>
      </c>
      <c r="E96" s="313"/>
      <c r="F96" s="281"/>
      <c r="G96" s="282"/>
      <c r="H96" s="283"/>
      <c r="I96" s="281">
        <f t="shared" si="36"/>
        <v>0</v>
      </c>
      <c r="J96" s="281"/>
      <c r="K96" s="281">
        <f t="shared" si="37"/>
        <v>0</v>
      </c>
      <c r="L96" s="281"/>
      <c r="M96" s="281"/>
      <c r="N96" s="281"/>
      <c r="O96" s="281">
        <f t="shared" si="38"/>
        <v>0</v>
      </c>
      <c r="P96" s="284"/>
      <c r="Q96" s="284"/>
      <c r="R96" s="283"/>
      <c r="S96" s="281"/>
      <c r="T96" s="284"/>
      <c r="U96" s="285">
        <f t="shared" si="39"/>
        <v>0</v>
      </c>
    </row>
    <row r="97" spans="1:21" ht="15.75">
      <c r="A97" s="311">
        <v>14</v>
      </c>
      <c r="B97" s="325" t="s">
        <v>359</v>
      </c>
      <c r="C97" s="313">
        <v>2</v>
      </c>
      <c r="D97" s="313">
        <v>2</v>
      </c>
      <c r="E97" s="313"/>
      <c r="F97" s="281"/>
      <c r="G97" s="282"/>
      <c r="H97" s="283"/>
      <c r="I97" s="281">
        <f t="shared" si="36"/>
        <v>0</v>
      </c>
      <c r="J97" s="281"/>
      <c r="K97" s="281">
        <f t="shared" si="37"/>
        <v>0</v>
      </c>
      <c r="L97" s="281"/>
      <c r="M97" s="281"/>
      <c r="N97" s="281"/>
      <c r="O97" s="281">
        <f t="shared" si="38"/>
        <v>0</v>
      </c>
      <c r="P97" s="284"/>
      <c r="Q97" s="284"/>
      <c r="R97" s="283"/>
      <c r="S97" s="281"/>
      <c r="T97" s="284"/>
      <c r="U97" s="285">
        <f t="shared" si="39"/>
        <v>0</v>
      </c>
    </row>
    <row r="98" spans="1:21" ht="15.75">
      <c r="A98" s="311">
        <v>15</v>
      </c>
      <c r="B98" s="325" t="s">
        <v>360</v>
      </c>
      <c r="C98" s="313">
        <v>3</v>
      </c>
      <c r="D98" s="313">
        <v>3</v>
      </c>
      <c r="E98" s="313"/>
      <c r="F98" s="281"/>
      <c r="G98" s="282"/>
      <c r="H98" s="283"/>
      <c r="I98" s="281">
        <f t="shared" si="36"/>
        <v>0</v>
      </c>
      <c r="J98" s="281"/>
      <c r="K98" s="281">
        <f t="shared" si="37"/>
        <v>0</v>
      </c>
      <c r="L98" s="281"/>
      <c r="M98" s="281"/>
      <c r="N98" s="281"/>
      <c r="O98" s="281">
        <f t="shared" si="38"/>
        <v>0</v>
      </c>
      <c r="P98" s="284"/>
      <c r="Q98" s="284"/>
      <c r="R98" s="283"/>
      <c r="S98" s="281"/>
      <c r="T98" s="284"/>
      <c r="U98" s="285">
        <f t="shared" si="39"/>
        <v>0</v>
      </c>
    </row>
    <row r="99" spans="1:21" ht="15.75">
      <c r="A99" s="311">
        <v>16</v>
      </c>
      <c r="B99" s="325" t="s">
        <v>361</v>
      </c>
      <c r="C99" s="313">
        <v>3</v>
      </c>
      <c r="D99" s="313">
        <v>3</v>
      </c>
      <c r="E99" s="313"/>
      <c r="F99" s="281"/>
      <c r="G99" s="282"/>
      <c r="H99" s="283"/>
      <c r="I99" s="281">
        <f t="shared" si="36"/>
        <v>0</v>
      </c>
      <c r="J99" s="281"/>
      <c r="K99" s="281">
        <f t="shared" si="37"/>
        <v>0</v>
      </c>
      <c r="L99" s="281"/>
      <c r="M99" s="281"/>
      <c r="N99" s="281"/>
      <c r="O99" s="281">
        <f t="shared" si="38"/>
        <v>0</v>
      </c>
      <c r="P99" s="284"/>
      <c r="Q99" s="284"/>
      <c r="R99" s="283"/>
      <c r="S99" s="281"/>
      <c r="T99" s="284"/>
      <c r="U99" s="285">
        <f t="shared" si="39"/>
        <v>0</v>
      </c>
    </row>
    <row r="100" spans="1:21" ht="15.75">
      <c r="A100" s="311">
        <v>17</v>
      </c>
      <c r="B100" s="325" t="s">
        <v>362</v>
      </c>
      <c r="C100" s="313">
        <v>3</v>
      </c>
      <c r="D100" s="313">
        <v>3</v>
      </c>
      <c r="E100" s="313"/>
      <c r="F100" s="281"/>
      <c r="G100" s="282"/>
      <c r="H100" s="283"/>
      <c r="I100" s="281">
        <f t="shared" si="36"/>
        <v>0</v>
      </c>
      <c r="J100" s="281"/>
      <c r="K100" s="281">
        <f t="shared" si="37"/>
        <v>0</v>
      </c>
      <c r="L100" s="281"/>
      <c r="M100" s="281"/>
      <c r="N100" s="281"/>
      <c r="O100" s="281">
        <f t="shared" si="38"/>
        <v>0</v>
      </c>
      <c r="P100" s="284"/>
      <c r="Q100" s="284"/>
      <c r="R100" s="283"/>
      <c r="S100" s="281"/>
      <c r="T100" s="284"/>
      <c r="U100" s="285">
        <f t="shared" si="39"/>
        <v>0</v>
      </c>
    </row>
    <row r="101" spans="1:21" ht="15.75">
      <c r="A101" s="311">
        <v>18</v>
      </c>
      <c r="B101" s="325" t="s">
        <v>363</v>
      </c>
      <c r="C101" s="313">
        <v>2</v>
      </c>
      <c r="D101" s="313">
        <v>2</v>
      </c>
      <c r="E101" s="313"/>
      <c r="F101" s="281"/>
      <c r="G101" s="282"/>
      <c r="H101" s="283"/>
      <c r="I101" s="281">
        <f t="shared" si="36"/>
        <v>0</v>
      </c>
      <c r="J101" s="281"/>
      <c r="K101" s="281">
        <f t="shared" si="37"/>
        <v>0</v>
      </c>
      <c r="L101" s="281"/>
      <c r="M101" s="281"/>
      <c r="N101" s="281"/>
      <c r="O101" s="281">
        <f t="shared" si="38"/>
        <v>0</v>
      </c>
      <c r="P101" s="284"/>
      <c r="Q101" s="284"/>
      <c r="R101" s="283"/>
      <c r="S101" s="281"/>
      <c r="T101" s="284"/>
      <c r="U101" s="285">
        <f t="shared" si="39"/>
        <v>0</v>
      </c>
    </row>
    <row r="102" spans="1:21" ht="15.75">
      <c r="A102" s="302" t="s">
        <v>381</v>
      </c>
      <c r="B102" s="309" t="s">
        <v>365</v>
      </c>
      <c r="C102" s="304">
        <f aca="true" t="shared" si="40" ref="C102:U102">C103+C104+C105+C106+C107+C108+C109+C110+C111+C112</f>
        <v>20</v>
      </c>
      <c r="D102" s="304">
        <f t="shared" si="40"/>
        <v>20</v>
      </c>
      <c r="E102" s="304">
        <f t="shared" si="40"/>
        <v>0</v>
      </c>
      <c r="F102" s="304">
        <f t="shared" si="40"/>
        <v>0</v>
      </c>
      <c r="G102" s="304">
        <f t="shared" si="40"/>
        <v>0</v>
      </c>
      <c r="H102" s="304">
        <f t="shared" si="40"/>
        <v>0</v>
      </c>
      <c r="I102" s="304">
        <f t="shared" si="40"/>
        <v>0</v>
      </c>
      <c r="J102" s="304">
        <f t="shared" si="40"/>
        <v>0</v>
      </c>
      <c r="K102" s="304">
        <f t="shared" si="40"/>
        <v>0</v>
      </c>
      <c r="L102" s="304">
        <f t="shared" si="40"/>
        <v>0</v>
      </c>
      <c r="M102" s="304">
        <f t="shared" si="40"/>
        <v>0</v>
      </c>
      <c r="N102" s="304">
        <f t="shared" si="40"/>
        <v>0</v>
      </c>
      <c r="O102" s="304">
        <f t="shared" si="40"/>
        <v>0</v>
      </c>
      <c r="P102" s="310">
        <f t="shared" si="40"/>
        <v>0</v>
      </c>
      <c r="Q102" s="310">
        <f t="shared" si="40"/>
        <v>0</v>
      </c>
      <c r="R102" s="304">
        <f t="shared" si="40"/>
        <v>0</v>
      </c>
      <c r="S102" s="304">
        <f t="shared" si="40"/>
        <v>0</v>
      </c>
      <c r="T102" s="304">
        <f t="shared" si="40"/>
        <v>0</v>
      </c>
      <c r="U102" s="304">
        <f t="shared" si="40"/>
        <v>0</v>
      </c>
    </row>
    <row r="103" spans="1:21" ht="15.75">
      <c r="A103" s="311">
        <v>1</v>
      </c>
      <c r="B103" s="325" t="s">
        <v>366</v>
      </c>
      <c r="C103" s="313">
        <v>2</v>
      </c>
      <c r="D103" s="313">
        <v>2</v>
      </c>
      <c r="E103" s="313"/>
      <c r="F103" s="281"/>
      <c r="G103" s="282"/>
      <c r="H103" s="283"/>
      <c r="I103" s="281">
        <f aca="true" t="shared" si="41" ref="I103:I112">E103+F103</f>
        <v>0</v>
      </c>
      <c r="J103" s="281"/>
      <c r="K103" s="281">
        <f aca="true" t="shared" si="42" ref="K103:K112">I103-J103</f>
        <v>0</v>
      </c>
      <c r="L103" s="281"/>
      <c r="M103" s="281"/>
      <c r="N103" s="281"/>
      <c r="O103" s="281">
        <f aca="true" t="shared" si="43" ref="O103:O112">K103-M103</f>
        <v>0</v>
      </c>
      <c r="P103" s="284"/>
      <c r="Q103" s="284"/>
      <c r="R103" s="283"/>
      <c r="S103" s="281"/>
      <c r="T103" s="284"/>
      <c r="U103" s="285">
        <f aca="true" t="shared" si="44" ref="U103:U112">O103+S103</f>
        <v>0</v>
      </c>
    </row>
    <row r="104" spans="1:21" ht="15.75">
      <c r="A104" s="311">
        <v>2</v>
      </c>
      <c r="B104" s="325" t="s">
        <v>367</v>
      </c>
      <c r="C104" s="313">
        <v>2</v>
      </c>
      <c r="D104" s="313">
        <v>2</v>
      </c>
      <c r="E104" s="313"/>
      <c r="F104" s="281"/>
      <c r="G104" s="282"/>
      <c r="H104" s="283"/>
      <c r="I104" s="281">
        <f t="shared" si="41"/>
        <v>0</v>
      </c>
      <c r="J104" s="281"/>
      <c r="K104" s="281">
        <f t="shared" si="42"/>
        <v>0</v>
      </c>
      <c r="L104" s="281"/>
      <c r="M104" s="281"/>
      <c r="N104" s="281"/>
      <c r="O104" s="281">
        <f t="shared" si="43"/>
        <v>0</v>
      </c>
      <c r="P104" s="284"/>
      <c r="Q104" s="284"/>
      <c r="R104" s="283"/>
      <c r="S104" s="281"/>
      <c r="T104" s="284"/>
      <c r="U104" s="285">
        <f t="shared" si="44"/>
        <v>0</v>
      </c>
    </row>
    <row r="105" spans="1:21" ht="15.75">
      <c r="A105" s="311">
        <v>3</v>
      </c>
      <c r="B105" s="325" t="s">
        <v>368</v>
      </c>
      <c r="C105" s="313">
        <v>2</v>
      </c>
      <c r="D105" s="313">
        <v>2</v>
      </c>
      <c r="E105" s="313"/>
      <c r="F105" s="281"/>
      <c r="G105" s="282"/>
      <c r="H105" s="283"/>
      <c r="I105" s="281">
        <f t="shared" si="41"/>
        <v>0</v>
      </c>
      <c r="J105" s="281"/>
      <c r="K105" s="281">
        <f t="shared" si="42"/>
        <v>0</v>
      </c>
      <c r="L105" s="281"/>
      <c r="M105" s="281"/>
      <c r="N105" s="281"/>
      <c r="O105" s="281">
        <f t="shared" si="43"/>
        <v>0</v>
      </c>
      <c r="P105" s="284"/>
      <c r="Q105" s="284"/>
      <c r="R105" s="283"/>
      <c r="S105" s="281"/>
      <c r="T105" s="284"/>
      <c r="U105" s="285">
        <f t="shared" si="44"/>
        <v>0</v>
      </c>
    </row>
    <row r="106" spans="1:21" ht="15.75">
      <c r="A106" s="311">
        <v>4</v>
      </c>
      <c r="B106" s="325" t="s">
        <v>369</v>
      </c>
      <c r="C106" s="313">
        <v>2</v>
      </c>
      <c r="D106" s="313">
        <v>2</v>
      </c>
      <c r="E106" s="313"/>
      <c r="F106" s="281"/>
      <c r="G106" s="282"/>
      <c r="H106" s="283"/>
      <c r="I106" s="281">
        <f t="shared" si="41"/>
        <v>0</v>
      </c>
      <c r="J106" s="281"/>
      <c r="K106" s="281">
        <f t="shared" si="42"/>
        <v>0</v>
      </c>
      <c r="L106" s="281"/>
      <c r="M106" s="281"/>
      <c r="N106" s="281"/>
      <c r="O106" s="281">
        <f t="shared" si="43"/>
        <v>0</v>
      </c>
      <c r="P106" s="284"/>
      <c r="Q106" s="284"/>
      <c r="R106" s="283"/>
      <c r="S106" s="281"/>
      <c r="T106" s="284"/>
      <c r="U106" s="285">
        <f t="shared" si="44"/>
        <v>0</v>
      </c>
    </row>
    <row r="107" spans="1:21" ht="15.75">
      <c r="A107" s="311">
        <v>5</v>
      </c>
      <c r="B107" s="325" t="s">
        <v>370</v>
      </c>
      <c r="C107" s="313">
        <v>2</v>
      </c>
      <c r="D107" s="313">
        <v>2</v>
      </c>
      <c r="E107" s="313"/>
      <c r="F107" s="281"/>
      <c r="G107" s="282"/>
      <c r="H107" s="283"/>
      <c r="I107" s="281">
        <f t="shared" si="41"/>
        <v>0</v>
      </c>
      <c r="J107" s="281"/>
      <c r="K107" s="281">
        <f t="shared" si="42"/>
        <v>0</v>
      </c>
      <c r="L107" s="281"/>
      <c r="M107" s="281"/>
      <c r="N107" s="281"/>
      <c r="O107" s="281">
        <f t="shared" si="43"/>
        <v>0</v>
      </c>
      <c r="P107" s="284"/>
      <c r="Q107" s="284"/>
      <c r="R107" s="283"/>
      <c r="S107" s="281"/>
      <c r="T107" s="284"/>
      <c r="U107" s="285">
        <f t="shared" si="44"/>
        <v>0</v>
      </c>
    </row>
    <row r="108" spans="1:21" ht="15.75">
      <c r="A108" s="311">
        <v>6</v>
      </c>
      <c r="B108" s="325" t="s">
        <v>371</v>
      </c>
      <c r="C108" s="313">
        <v>2</v>
      </c>
      <c r="D108" s="313">
        <v>2</v>
      </c>
      <c r="E108" s="313"/>
      <c r="F108" s="281"/>
      <c r="G108" s="282"/>
      <c r="H108" s="283"/>
      <c r="I108" s="281">
        <f t="shared" si="41"/>
        <v>0</v>
      </c>
      <c r="J108" s="281"/>
      <c r="K108" s="281">
        <f t="shared" si="42"/>
        <v>0</v>
      </c>
      <c r="L108" s="281"/>
      <c r="M108" s="281"/>
      <c r="N108" s="281"/>
      <c r="O108" s="281">
        <f t="shared" si="43"/>
        <v>0</v>
      </c>
      <c r="P108" s="284"/>
      <c r="Q108" s="284"/>
      <c r="R108" s="283"/>
      <c r="S108" s="281"/>
      <c r="T108" s="284"/>
      <c r="U108" s="285">
        <f t="shared" si="44"/>
        <v>0</v>
      </c>
    </row>
    <row r="109" spans="1:21" ht="15.75">
      <c r="A109" s="311">
        <v>7</v>
      </c>
      <c r="B109" s="325" t="s">
        <v>372</v>
      </c>
      <c r="C109" s="313">
        <v>2</v>
      </c>
      <c r="D109" s="313">
        <v>2</v>
      </c>
      <c r="E109" s="313"/>
      <c r="F109" s="281"/>
      <c r="G109" s="282"/>
      <c r="H109" s="283"/>
      <c r="I109" s="281">
        <f t="shared" si="41"/>
        <v>0</v>
      </c>
      <c r="J109" s="281"/>
      <c r="K109" s="281">
        <f t="shared" si="42"/>
        <v>0</v>
      </c>
      <c r="L109" s="281"/>
      <c r="M109" s="281"/>
      <c r="N109" s="281"/>
      <c r="O109" s="281">
        <f t="shared" si="43"/>
        <v>0</v>
      </c>
      <c r="P109" s="284"/>
      <c r="Q109" s="284"/>
      <c r="R109" s="283"/>
      <c r="S109" s="281"/>
      <c r="T109" s="284"/>
      <c r="U109" s="285">
        <f t="shared" si="44"/>
        <v>0</v>
      </c>
    </row>
    <row r="110" spans="1:21" ht="15.75">
      <c r="A110" s="311">
        <v>8</v>
      </c>
      <c r="B110" s="325" t="s">
        <v>373</v>
      </c>
      <c r="C110" s="313">
        <v>2</v>
      </c>
      <c r="D110" s="313">
        <v>2</v>
      </c>
      <c r="E110" s="313"/>
      <c r="F110" s="281"/>
      <c r="G110" s="282"/>
      <c r="H110" s="283"/>
      <c r="I110" s="281">
        <f t="shared" si="41"/>
        <v>0</v>
      </c>
      <c r="J110" s="281"/>
      <c r="K110" s="281">
        <f t="shared" si="42"/>
        <v>0</v>
      </c>
      <c r="L110" s="281"/>
      <c r="M110" s="281"/>
      <c r="N110" s="281"/>
      <c r="O110" s="281">
        <f t="shared" si="43"/>
        <v>0</v>
      </c>
      <c r="P110" s="284"/>
      <c r="Q110" s="284"/>
      <c r="R110" s="283"/>
      <c r="S110" s="281"/>
      <c r="T110" s="284"/>
      <c r="U110" s="285">
        <f t="shared" si="44"/>
        <v>0</v>
      </c>
    </row>
    <row r="111" spans="1:21" ht="15.75">
      <c r="A111" s="311">
        <v>9</v>
      </c>
      <c r="B111" s="325" t="s">
        <v>374</v>
      </c>
      <c r="C111" s="313">
        <v>2</v>
      </c>
      <c r="D111" s="313">
        <v>2</v>
      </c>
      <c r="E111" s="313"/>
      <c r="F111" s="281"/>
      <c r="G111" s="282"/>
      <c r="H111" s="283"/>
      <c r="I111" s="281">
        <f t="shared" si="41"/>
        <v>0</v>
      </c>
      <c r="J111" s="281"/>
      <c r="K111" s="281">
        <f t="shared" si="42"/>
        <v>0</v>
      </c>
      <c r="L111" s="281"/>
      <c r="M111" s="281"/>
      <c r="N111" s="281"/>
      <c r="O111" s="281">
        <f t="shared" si="43"/>
        <v>0</v>
      </c>
      <c r="P111" s="284"/>
      <c r="Q111" s="284"/>
      <c r="R111" s="283"/>
      <c r="S111" s="281"/>
      <c r="T111" s="284"/>
      <c r="U111" s="285">
        <f t="shared" si="44"/>
        <v>0</v>
      </c>
    </row>
    <row r="112" spans="1:21" ht="15.75">
      <c r="A112" s="311">
        <v>10</v>
      </c>
      <c r="B112" s="325" t="s">
        <v>375</v>
      </c>
      <c r="C112" s="313">
        <v>2</v>
      </c>
      <c r="D112" s="313">
        <v>2</v>
      </c>
      <c r="E112" s="313"/>
      <c r="F112" s="281"/>
      <c r="G112" s="282"/>
      <c r="H112" s="283"/>
      <c r="I112" s="281">
        <f t="shared" si="41"/>
        <v>0</v>
      </c>
      <c r="J112" s="281"/>
      <c r="K112" s="281">
        <f t="shared" si="42"/>
        <v>0</v>
      </c>
      <c r="L112" s="281"/>
      <c r="M112" s="281"/>
      <c r="N112" s="281"/>
      <c r="O112" s="281">
        <f t="shared" si="43"/>
        <v>0</v>
      </c>
      <c r="P112" s="284"/>
      <c r="Q112" s="284"/>
      <c r="R112" s="283"/>
      <c r="S112" s="281"/>
      <c r="T112" s="284"/>
      <c r="U112" s="285">
        <f t="shared" si="44"/>
        <v>0</v>
      </c>
    </row>
    <row r="113" spans="1:21" ht="19.5" customHeight="1">
      <c r="A113" s="15" t="s">
        <v>296</v>
      </c>
      <c r="B113" s="136" t="s">
        <v>496</v>
      </c>
      <c r="C113" s="291">
        <f>C114</f>
        <v>0</v>
      </c>
      <c r="D113" s="291">
        <f>D114</f>
        <v>0</v>
      </c>
      <c r="E113" s="68">
        <f>E114</f>
        <v>0</v>
      </c>
      <c r="F113" s="68">
        <f>F114+F115</f>
        <v>1781</v>
      </c>
      <c r="G113" s="68">
        <f aca="true" t="shared" si="45" ref="G113:U113">G114+G115</f>
        <v>0</v>
      </c>
      <c r="H113" s="68">
        <f t="shared" si="45"/>
        <v>0</v>
      </c>
      <c r="I113" s="68">
        <f t="shared" si="45"/>
        <v>1781</v>
      </c>
      <c r="J113" s="68">
        <f t="shared" si="45"/>
        <v>153.1</v>
      </c>
      <c r="K113" s="68">
        <f t="shared" si="45"/>
        <v>1627.9</v>
      </c>
      <c r="L113" s="68">
        <f t="shared" si="45"/>
        <v>0</v>
      </c>
      <c r="M113" s="68">
        <f t="shared" si="45"/>
        <v>0</v>
      </c>
      <c r="N113" s="68">
        <f t="shared" si="45"/>
        <v>0</v>
      </c>
      <c r="O113" s="68">
        <f t="shared" si="45"/>
        <v>1627.9</v>
      </c>
      <c r="P113" s="296">
        <f t="shared" si="45"/>
        <v>0</v>
      </c>
      <c r="Q113" s="296">
        <f t="shared" si="45"/>
        <v>0</v>
      </c>
      <c r="R113" s="68">
        <f t="shared" si="45"/>
        <v>0</v>
      </c>
      <c r="S113" s="68">
        <f t="shared" si="45"/>
        <v>0</v>
      </c>
      <c r="T113" s="68">
        <f t="shared" si="45"/>
        <v>0</v>
      </c>
      <c r="U113" s="68">
        <f t="shared" si="45"/>
        <v>1627.9</v>
      </c>
    </row>
    <row r="114" spans="1:21" ht="36" customHeight="1">
      <c r="A114" s="274">
        <v>1</v>
      </c>
      <c r="B114" s="292" t="s">
        <v>420</v>
      </c>
      <c r="C114" s="293"/>
      <c r="D114" s="293"/>
      <c r="E114" s="281"/>
      <c r="F114" s="281">
        <v>1531</v>
      </c>
      <c r="G114" s="282"/>
      <c r="H114" s="283"/>
      <c r="I114" s="281">
        <f>E114+F114</f>
        <v>1531</v>
      </c>
      <c r="J114" s="281">
        <f>F114*10%</f>
        <v>153.1</v>
      </c>
      <c r="K114" s="281">
        <f>I114-J114</f>
        <v>1377.9</v>
      </c>
      <c r="L114" s="281"/>
      <c r="M114" s="281"/>
      <c r="N114" s="281"/>
      <c r="O114" s="281">
        <f>K114-M114</f>
        <v>1377.9</v>
      </c>
      <c r="P114" s="284"/>
      <c r="Q114" s="284"/>
      <c r="R114" s="294">
        <f>S114+T114</f>
        <v>0</v>
      </c>
      <c r="S114" s="281"/>
      <c r="T114" s="284"/>
      <c r="U114" s="285">
        <f>O114+S114</f>
        <v>1377.9</v>
      </c>
    </row>
    <row r="115" spans="1:21" ht="42" customHeight="1">
      <c r="A115" s="15">
        <v>2</v>
      </c>
      <c r="B115" s="290" t="s">
        <v>494</v>
      </c>
      <c r="C115" s="291">
        <f>C116+C117</f>
        <v>0</v>
      </c>
      <c r="D115" s="291">
        <f>D116+D117</f>
        <v>0</v>
      </c>
      <c r="E115" s="68">
        <f>E116+E117</f>
        <v>0</v>
      </c>
      <c r="F115" s="68">
        <f>F116+F117</f>
        <v>250</v>
      </c>
      <c r="G115" s="80">
        <f>G116+G117</f>
        <v>0</v>
      </c>
      <c r="H115" s="283"/>
      <c r="I115" s="68">
        <f>I116+I117</f>
        <v>250</v>
      </c>
      <c r="J115" s="68">
        <f>J116+J117</f>
        <v>0</v>
      </c>
      <c r="K115" s="68">
        <f>K116+K117</f>
        <v>250</v>
      </c>
      <c r="L115" s="68">
        <f>L116+L117</f>
        <v>0</v>
      </c>
      <c r="M115" s="68">
        <f>M116+M117</f>
        <v>0</v>
      </c>
      <c r="N115" s="68"/>
      <c r="O115" s="68">
        <f aca="true" t="shared" si="46" ref="O115:U115">O116+O117</f>
        <v>250</v>
      </c>
      <c r="P115" s="296">
        <f t="shared" si="46"/>
        <v>0</v>
      </c>
      <c r="Q115" s="296">
        <f t="shared" si="46"/>
        <v>0</v>
      </c>
      <c r="R115" s="68">
        <f t="shared" si="46"/>
        <v>0</v>
      </c>
      <c r="S115" s="68">
        <f t="shared" si="46"/>
        <v>0</v>
      </c>
      <c r="T115" s="68">
        <f t="shared" si="46"/>
        <v>0</v>
      </c>
      <c r="U115" s="68">
        <f t="shared" si="46"/>
        <v>250</v>
      </c>
    </row>
    <row r="116" spans="1:21" ht="35.25" customHeight="1">
      <c r="A116" s="274"/>
      <c r="B116" s="312" t="s">
        <v>495</v>
      </c>
      <c r="C116" s="293"/>
      <c r="D116" s="293"/>
      <c r="E116" s="281"/>
      <c r="F116" s="281">
        <v>150</v>
      </c>
      <c r="G116" s="282"/>
      <c r="H116" s="283"/>
      <c r="I116" s="281">
        <v>150</v>
      </c>
      <c r="J116" s="281"/>
      <c r="K116" s="281">
        <f>I116-J116</f>
        <v>150</v>
      </c>
      <c r="L116" s="281"/>
      <c r="M116" s="281"/>
      <c r="N116" s="281"/>
      <c r="O116" s="281">
        <f>K116-M116</f>
        <v>150</v>
      </c>
      <c r="P116" s="284"/>
      <c r="Q116" s="284"/>
      <c r="R116" s="283">
        <f>S116+T116</f>
        <v>0</v>
      </c>
      <c r="S116" s="281"/>
      <c r="T116" s="284"/>
      <c r="U116" s="285">
        <f>O116+S116</f>
        <v>150</v>
      </c>
    </row>
    <row r="117" spans="1:21" ht="39" customHeight="1">
      <c r="A117" s="274"/>
      <c r="B117" s="312" t="s">
        <v>816</v>
      </c>
      <c r="C117" s="293"/>
      <c r="D117" s="293"/>
      <c r="E117" s="281"/>
      <c r="F117" s="281">
        <v>100</v>
      </c>
      <c r="G117" s="282"/>
      <c r="H117" s="283"/>
      <c r="I117" s="281">
        <f>F117+H117</f>
        <v>100</v>
      </c>
      <c r="J117" s="281"/>
      <c r="K117" s="281">
        <f>I117-J117</f>
        <v>100</v>
      </c>
      <c r="L117" s="281"/>
      <c r="M117" s="281"/>
      <c r="N117" s="281"/>
      <c r="O117" s="281">
        <f>K117-M117</f>
        <v>100</v>
      </c>
      <c r="P117" s="284"/>
      <c r="Q117" s="284"/>
      <c r="R117" s="283">
        <f>S117+T117</f>
        <v>0</v>
      </c>
      <c r="S117" s="281"/>
      <c r="T117" s="284"/>
      <c r="U117" s="285">
        <f>O117+S117</f>
        <v>100</v>
      </c>
    </row>
    <row r="118" spans="1:21" s="35" customFormat="1" ht="24" customHeight="1">
      <c r="A118" s="15" t="s">
        <v>297</v>
      </c>
      <c r="B118" s="136" t="s">
        <v>490</v>
      </c>
      <c r="C118" s="287">
        <f>C119+C120</f>
        <v>22</v>
      </c>
      <c r="D118" s="287">
        <f aca="true" t="shared" si="47" ref="D118:U118">D119+D120</f>
        <v>19</v>
      </c>
      <c r="E118" s="287">
        <f t="shared" si="47"/>
        <v>1957</v>
      </c>
      <c r="F118" s="287">
        <f t="shared" si="47"/>
        <v>600</v>
      </c>
      <c r="G118" s="287">
        <f t="shared" si="47"/>
        <v>0</v>
      </c>
      <c r="H118" s="287">
        <f t="shared" si="47"/>
        <v>0</v>
      </c>
      <c r="I118" s="287">
        <f t="shared" si="47"/>
        <v>2557</v>
      </c>
      <c r="J118" s="287">
        <f t="shared" si="47"/>
        <v>60</v>
      </c>
      <c r="K118" s="287">
        <f t="shared" si="47"/>
        <v>2497</v>
      </c>
      <c r="L118" s="287">
        <f t="shared" si="47"/>
        <v>216</v>
      </c>
      <c r="M118" s="287">
        <f t="shared" si="47"/>
        <v>130</v>
      </c>
      <c r="N118" s="287">
        <f t="shared" si="47"/>
        <v>86</v>
      </c>
      <c r="O118" s="287">
        <f t="shared" si="47"/>
        <v>2367</v>
      </c>
      <c r="P118" s="298">
        <f t="shared" si="47"/>
        <v>30</v>
      </c>
      <c r="Q118" s="298">
        <f t="shared" si="47"/>
        <v>600</v>
      </c>
      <c r="R118" s="287">
        <f t="shared" si="47"/>
        <v>40</v>
      </c>
      <c r="S118" s="287">
        <f t="shared" si="47"/>
        <v>24</v>
      </c>
      <c r="T118" s="287">
        <f t="shared" si="47"/>
        <v>16</v>
      </c>
      <c r="U118" s="287">
        <f t="shared" si="47"/>
        <v>2343</v>
      </c>
    </row>
    <row r="119" spans="1:21" ht="33.75" customHeight="1">
      <c r="A119" s="273">
        <v>1</v>
      </c>
      <c r="B119" s="278" t="s">
        <v>572</v>
      </c>
      <c r="C119" s="279">
        <v>20</v>
      </c>
      <c r="D119" s="280">
        <v>17</v>
      </c>
      <c r="E119" s="281">
        <v>1957</v>
      </c>
      <c r="F119" s="281">
        <f>(P119*C119)</f>
        <v>600</v>
      </c>
      <c r="G119" s="282"/>
      <c r="H119" s="281"/>
      <c r="I119" s="281">
        <f>E119+F119+G119+H119</f>
        <v>2557</v>
      </c>
      <c r="J119" s="281">
        <f>F119*10%</f>
        <v>60</v>
      </c>
      <c r="K119" s="281">
        <f>I119-J119</f>
        <v>2497</v>
      </c>
      <c r="L119" s="281">
        <f>M119+N119</f>
        <v>216</v>
      </c>
      <c r="M119" s="281">
        <v>130</v>
      </c>
      <c r="N119" s="281">
        <v>86</v>
      </c>
      <c r="O119" s="281">
        <f>K119-M119</f>
        <v>2367</v>
      </c>
      <c r="P119" s="294">
        <v>30</v>
      </c>
      <c r="Q119" s="283">
        <f>P119*C119</f>
        <v>600</v>
      </c>
      <c r="R119" s="281">
        <f>S119+T119</f>
        <v>40</v>
      </c>
      <c r="S119" s="281">
        <v>24</v>
      </c>
      <c r="T119" s="281">
        <v>16</v>
      </c>
      <c r="U119" s="285">
        <f>O119-S119</f>
        <v>2343</v>
      </c>
    </row>
    <row r="120" spans="1:21" ht="29.25" customHeight="1">
      <c r="A120" s="274">
        <v>2</v>
      </c>
      <c r="B120" s="295" t="s">
        <v>685</v>
      </c>
      <c r="C120" s="313">
        <v>2</v>
      </c>
      <c r="D120" s="313">
        <v>2</v>
      </c>
      <c r="E120" s="313"/>
      <c r="F120" s="281"/>
      <c r="G120" s="282"/>
      <c r="H120" s="283"/>
      <c r="I120" s="281">
        <f>E120+F120</f>
        <v>0</v>
      </c>
      <c r="J120" s="281"/>
      <c r="K120" s="281">
        <f>I120-J120</f>
        <v>0</v>
      </c>
      <c r="L120" s="281"/>
      <c r="M120" s="281"/>
      <c r="N120" s="281"/>
      <c r="O120" s="281">
        <f>K120-M120</f>
        <v>0</v>
      </c>
      <c r="P120" s="284"/>
      <c r="Q120" s="284"/>
      <c r="R120" s="283"/>
      <c r="S120" s="281"/>
      <c r="T120" s="284"/>
      <c r="U120" s="285">
        <f>O120+S120</f>
        <v>0</v>
      </c>
    </row>
    <row r="121" spans="1:21" ht="22.5" customHeight="1">
      <c r="A121" s="15" t="s">
        <v>298</v>
      </c>
      <c r="B121" s="136" t="s">
        <v>491</v>
      </c>
      <c r="C121" s="291">
        <f>C122+C125</f>
        <v>0</v>
      </c>
      <c r="D121" s="291">
        <f aca="true" t="shared" si="48" ref="D121:U121">D122+D125</f>
        <v>0</v>
      </c>
      <c r="E121" s="291">
        <f t="shared" si="48"/>
        <v>0</v>
      </c>
      <c r="F121" s="291">
        <f t="shared" si="48"/>
        <v>1565</v>
      </c>
      <c r="G121" s="291">
        <f t="shared" si="48"/>
        <v>0</v>
      </c>
      <c r="H121" s="291">
        <f t="shared" si="48"/>
        <v>0</v>
      </c>
      <c r="I121" s="291">
        <f t="shared" si="48"/>
        <v>1565</v>
      </c>
      <c r="J121" s="291">
        <f t="shared" si="48"/>
        <v>0</v>
      </c>
      <c r="K121" s="291">
        <f t="shared" si="48"/>
        <v>1565</v>
      </c>
      <c r="L121" s="291">
        <f t="shared" si="48"/>
        <v>0</v>
      </c>
      <c r="M121" s="291">
        <f t="shared" si="48"/>
        <v>0</v>
      </c>
      <c r="N121" s="291">
        <f t="shared" si="48"/>
        <v>0</v>
      </c>
      <c r="O121" s="291">
        <f t="shared" si="48"/>
        <v>1565</v>
      </c>
      <c r="P121" s="297">
        <f t="shared" si="48"/>
        <v>0</v>
      </c>
      <c r="Q121" s="297">
        <f t="shared" si="48"/>
        <v>0</v>
      </c>
      <c r="R121" s="291">
        <f t="shared" si="48"/>
        <v>0</v>
      </c>
      <c r="S121" s="291">
        <f t="shared" si="48"/>
        <v>0</v>
      </c>
      <c r="T121" s="291">
        <f t="shared" si="48"/>
        <v>0</v>
      </c>
      <c r="U121" s="291">
        <f t="shared" si="48"/>
        <v>1565</v>
      </c>
    </row>
    <row r="122" spans="1:21" s="354" customFormat="1" ht="35.25" customHeight="1">
      <c r="A122" s="891">
        <v>1</v>
      </c>
      <c r="B122" s="350" t="s">
        <v>492</v>
      </c>
      <c r="C122" s="351">
        <f>C123</f>
        <v>0</v>
      </c>
      <c r="D122" s="351">
        <f>D123</f>
        <v>0</v>
      </c>
      <c r="E122" s="352">
        <f>E123</f>
        <v>0</v>
      </c>
      <c r="F122" s="352">
        <f>F123+F124</f>
        <v>365</v>
      </c>
      <c r="G122" s="352">
        <f aca="true" t="shared" si="49" ref="G122:U122">G123+G124</f>
        <v>0</v>
      </c>
      <c r="H122" s="352">
        <f t="shared" si="49"/>
        <v>0</v>
      </c>
      <c r="I122" s="352">
        <f t="shared" si="49"/>
        <v>365</v>
      </c>
      <c r="J122" s="352">
        <f t="shared" si="49"/>
        <v>0</v>
      </c>
      <c r="K122" s="352">
        <f t="shared" si="49"/>
        <v>365</v>
      </c>
      <c r="L122" s="352">
        <f t="shared" si="49"/>
        <v>0</v>
      </c>
      <c r="M122" s="352">
        <f t="shared" si="49"/>
        <v>0</v>
      </c>
      <c r="N122" s="352"/>
      <c r="O122" s="352">
        <f t="shared" si="49"/>
        <v>365</v>
      </c>
      <c r="P122" s="353">
        <f t="shared" si="49"/>
        <v>0</v>
      </c>
      <c r="Q122" s="353">
        <f t="shared" si="49"/>
        <v>0</v>
      </c>
      <c r="R122" s="352">
        <f t="shared" si="49"/>
        <v>0</v>
      </c>
      <c r="S122" s="352">
        <f t="shared" si="49"/>
        <v>0</v>
      </c>
      <c r="T122" s="352">
        <f t="shared" si="49"/>
        <v>0</v>
      </c>
      <c r="U122" s="352">
        <f t="shared" si="49"/>
        <v>365</v>
      </c>
    </row>
    <row r="123" spans="1:21" s="354" customFormat="1" ht="22.5" customHeight="1">
      <c r="A123" s="355"/>
      <c r="B123" s="356" t="s">
        <v>493</v>
      </c>
      <c r="C123" s="357"/>
      <c r="D123" s="357"/>
      <c r="E123" s="319"/>
      <c r="F123" s="319">
        <v>300</v>
      </c>
      <c r="G123" s="319"/>
      <c r="H123" s="358"/>
      <c r="I123" s="319">
        <f>E123+F123</f>
        <v>300</v>
      </c>
      <c r="J123" s="319"/>
      <c r="K123" s="319">
        <f>I123-J123</f>
        <v>300</v>
      </c>
      <c r="L123" s="319"/>
      <c r="M123" s="319"/>
      <c r="N123" s="319"/>
      <c r="O123" s="319">
        <f>K123-M123</f>
        <v>300</v>
      </c>
      <c r="P123" s="359"/>
      <c r="Q123" s="359"/>
      <c r="R123" s="358">
        <f>S123+T123</f>
        <v>0</v>
      </c>
      <c r="S123" s="319"/>
      <c r="T123" s="359"/>
      <c r="U123" s="360">
        <f>O123+S123</f>
        <v>300</v>
      </c>
    </row>
    <row r="124" spans="1:21" s="354" customFormat="1" ht="30.75" customHeight="1">
      <c r="A124" s="355"/>
      <c r="B124" s="361" t="s">
        <v>816</v>
      </c>
      <c r="C124" s="357"/>
      <c r="D124" s="357"/>
      <c r="E124" s="319"/>
      <c r="F124" s="319">
        <v>65</v>
      </c>
      <c r="G124" s="319"/>
      <c r="H124" s="358"/>
      <c r="I124" s="319">
        <v>65</v>
      </c>
      <c r="J124" s="319"/>
      <c r="K124" s="319">
        <f>I124-J124</f>
        <v>65</v>
      </c>
      <c r="L124" s="319"/>
      <c r="M124" s="319"/>
      <c r="N124" s="319"/>
      <c r="O124" s="319">
        <f>K124-M124</f>
        <v>65</v>
      </c>
      <c r="P124" s="359"/>
      <c r="Q124" s="359"/>
      <c r="R124" s="358">
        <f>S124+T124</f>
        <v>0</v>
      </c>
      <c r="S124" s="319"/>
      <c r="T124" s="359"/>
      <c r="U124" s="360">
        <f>O124+S124</f>
        <v>65</v>
      </c>
    </row>
    <row r="125" spans="1:21" ht="35.25" customHeight="1">
      <c r="A125" s="15">
        <v>2</v>
      </c>
      <c r="B125" s="314" t="s">
        <v>802</v>
      </c>
      <c r="C125" s="291">
        <f>C126</f>
        <v>0</v>
      </c>
      <c r="D125" s="291">
        <f>D126</f>
        <v>0</v>
      </c>
      <c r="E125" s="68">
        <f>E126</f>
        <v>0</v>
      </c>
      <c r="F125" s="68">
        <f>F126</f>
        <v>1200</v>
      </c>
      <c r="G125" s="80">
        <f>G126</f>
        <v>0</v>
      </c>
      <c r="H125" s="283"/>
      <c r="I125" s="68">
        <f aca="true" t="shared" si="50" ref="I125:U125">I126</f>
        <v>1200</v>
      </c>
      <c r="J125" s="68">
        <f t="shared" si="50"/>
        <v>0</v>
      </c>
      <c r="K125" s="68">
        <f t="shared" si="50"/>
        <v>1200</v>
      </c>
      <c r="L125" s="68">
        <f t="shared" si="50"/>
        <v>0</v>
      </c>
      <c r="M125" s="68">
        <f t="shared" si="50"/>
        <v>0</v>
      </c>
      <c r="N125" s="68"/>
      <c r="O125" s="68">
        <f t="shared" si="50"/>
        <v>1200</v>
      </c>
      <c r="P125" s="296">
        <f t="shared" si="50"/>
        <v>0</v>
      </c>
      <c r="Q125" s="296">
        <f t="shared" si="50"/>
        <v>0</v>
      </c>
      <c r="R125" s="68">
        <f t="shared" si="50"/>
        <v>0</v>
      </c>
      <c r="S125" s="68">
        <f t="shared" si="50"/>
        <v>0</v>
      </c>
      <c r="T125" s="68">
        <f t="shared" si="50"/>
        <v>0</v>
      </c>
      <c r="U125" s="68">
        <f t="shared" si="50"/>
        <v>1200</v>
      </c>
    </row>
    <row r="126" spans="1:21" ht="30" customHeight="1">
      <c r="A126" s="274"/>
      <c r="B126" s="315" t="s">
        <v>803</v>
      </c>
      <c r="C126" s="293"/>
      <c r="D126" s="293"/>
      <c r="E126" s="281"/>
      <c r="F126" s="281">
        <v>1200</v>
      </c>
      <c r="G126" s="282"/>
      <c r="H126" s="283"/>
      <c r="I126" s="281">
        <v>1200</v>
      </c>
      <c r="J126" s="281"/>
      <c r="K126" s="281">
        <f>I126-J126</f>
        <v>1200</v>
      </c>
      <c r="L126" s="281"/>
      <c r="M126" s="281"/>
      <c r="N126" s="281"/>
      <c r="O126" s="281">
        <f>K126-M126</f>
        <v>1200</v>
      </c>
      <c r="P126" s="284"/>
      <c r="Q126" s="284"/>
      <c r="R126" s="283">
        <f>S126+T126</f>
        <v>0</v>
      </c>
      <c r="S126" s="281"/>
      <c r="T126" s="284"/>
      <c r="U126" s="285">
        <f>O126+S126</f>
        <v>1200</v>
      </c>
    </row>
    <row r="127" spans="1:21" s="449" customFormat="1" ht="37.5" customHeight="1">
      <c r="A127" s="891" t="s">
        <v>405</v>
      </c>
      <c r="B127" s="445" t="s">
        <v>605</v>
      </c>
      <c r="C127" s="446"/>
      <c r="D127" s="446"/>
      <c r="E127" s="446"/>
      <c r="F127" s="352">
        <v>0</v>
      </c>
      <c r="G127" s="352"/>
      <c r="H127" s="447"/>
      <c r="I127" s="352">
        <f>255072-I14-I113-I118-I121</f>
        <v>15677.669999999984</v>
      </c>
      <c r="J127" s="352">
        <f>I127*10%</f>
        <v>1567.7669999999985</v>
      </c>
      <c r="K127" s="352">
        <f>I127-J127</f>
        <v>14109.902999999986</v>
      </c>
      <c r="L127" s="352"/>
      <c r="M127" s="352"/>
      <c r="N127" s="352"/>
      <c r="O127" s="352">
        <f>K127</f>
        <v>14109.902999999986</v>
      </c>
      <c r="P127" s="446"/>
      <c r="Q127" s="446"/>
      <c r="R127" s="447"/>
      <c r="S127" s="352"/>
      <c r="T127" s="446"/>
      <c r="U127" s="448">
        <f>O127</f>
        <v>14109.902999999986</v>
      </c>
    </row>
    <row r="133" ht="15.75">
      <c r="G133" s="81"/>
    </row>
  </sheetData>
  <sheetProtection/>
  <mergeCells count="30">
    <mergeCell ref="J7:J11"/>
    <mergeCell ref="K7:K11"/>
    <mergeCell ref="U7:U11"/>
    <mergeCell ref="S8:T8"/>
    <mergeCell ref="Q7:Q11"/>
    <mergeCell ref="R7:T7"/>
    <mergeCell ref="S9:S11"/>
    <mergeCell ref="L8:L11"/>
    <mergeCell ref="M8:N8"/>
    <mergeCell ref="M9:M11"/>
    <mergeCell ref="I7:I11"/>
    <mergeCell ref="B3:U3"/>
    <mergeCell ref="A4:U4"/>
    <mergeCell ref="A5:U5"/>
    <mergeCell ref="E7:E11"/>
    <mergeCell ref="F7:F11"/>
    <mergeCell ref="G7:G11"/>
    <mergeCell ref="H7:H11"/>
    <mergeCell ref="R6:U6"/>
    <mergeCell ref="T9:T11"/>
    <mergeCell ref="R8:R11"/>
    <mergeCell ref="L7:N7"/>
    <mergeCell ref="P7:P11"/>
    <mergeCell ref="N9:N11"/>
    <mergeCell ref="O7:O11"/>
    <mergeCell ref="A13:B13"/>
    <mergeCell ref="A7:A11"/>
    <mergeCell ref="B7:B11"/>
    <mergeCell ref="D7:D11"/>
    <mergeCell ref="C7:C11"/>
  </mergeCells>
  <printOptions/>
  <pageMargins left="0.55" right="0.2" top="0.5" bottom="0.54" header="0.54" footer="0.31"/>
  <pageSetup horizontalDpi="600" verticalDpi="600" orientation="landscape" paperSize="9" scale="75" r:id="rId2"/>
  <headerFooter alignWithMargins="0">
    <oddFooter>&amp;CPage &amp;P</oddFooter>
  </headerFooter>
  <drawing r:id="rId1"/>
</worksheet>
</file>

<file path=xl/worksheets/sheet7.xml><?xml version="1.0" encoding="utf-8"?>
<worksheet xmlns="http://schemas.openxmlformats.org/spreadsheetml/2006/main" xmlns:r="http://schemas.openxmlformats.org/officeDocument/2006/relationships">
  <sheetPr>
    <tabColor rgb="FF0070C0"/>
  </sheetPr>
  <dimension ref="A1:X23"/>
  <sheetViews>
    <sheetView zoomScale="120" zoomScaleNormal="120" zoomScalePageLayoutView="0" workbookViewId="0" topLeftCell="A1">
      <selection activeCell="A6" sqref="A6:V6"/>
    </sheetView>
  </sheetViews>
  <sheetFormatPr defaultColWidth="11.140625" defaultRowHeight="12.75"/>
  <cols>
    <col min="1" max="1" width="5.00390625" style="147" bestFit="1" customWidth="1"/>
    <col min="2" max="2" width="25.7109375" style="147" customWidth="1"/>
    <col min="3" max="3" width="7.421875" style="147" customWidth="1"/>
    <col min="4" max="4" width="5.8515625" style="147" customWidth="1"/>
    <col min="5" max="5" width="5.28125" style="147" customWidth="1"/>
    <col min="6" max="6" width="4.57421875" style="147" hidden="1" customWidth="1"/>
    <col min="7" max="7" width="7.28125" style="193" customWidth="1"/>
    <col min="8" max="8" width="7.421875" style="193" customWidth="1"/>
    <col min="9" max="9" width="8.00390625" style="193" customWidth="1"/>
    <col min="10" max="10" width="5.7109375" style="147" hidden="1" customWidth="1"/>
    <col min="11" max="11" width="8.57421875" style="147" customWidth="1"/>
    <col min="12" max="12" width="7.28125" style="147" customWidth="1"/>
    <col min="13" max="13" width="7.8515625" style="193" customWidth="1"/>
    <col min="14" max="14" width="8.140625" style="193" customWidth="1"/>
    <col min="15" max="15" width="7.421875" style="193" customWidth="1"/>
    <col min="16" max="16" width="7.28125" style="147" customWidth="1"/>
    <col min="17" max="17" width="8.8515625" style="147" customWidth="1"/>
    <col min="18" max="18" width="7.8515625" style="147" customWidth="1"/>
    <col min="19" max="20" width="8.28125" style="147" customWidth="1"/>
    <col min="21" max="21" width="7.140625" style="147" customWidth="1"/>
    <col min="22" max="22" width="8.7109375" style="147" customWidth="1"/>
    <col min="23" max="16384" width="11.140625" style="147" customWidth="1"/>
  </cols>
  <sheetData>
    <row r="1" spans="1:23" ht="18.75">
      <c r="A1" s="142"/>
      <c r="B1" s="143" t="s">
        <v>408</v>
      </c>
      <c r="C1" s="144"/>
      <c r="D1" s="144"/>
      <c r="E1" s="144"/>
      <c r="F1" s="145"/>
      <c r="G1" s="146"/>
      <c r="H1" s="146"/>
      <c r="I1" s="146"/>
      <c r="J1" s="146"/>
      <c r="K1" s="146"/>
      <c r="L1" s="146"/>
      <c r="M1" s="146"/>
      <c r="N1" s="146"/>
      <c r="O1" s="146"/>
      <c r="P1" s="146"/>
      <c r="Q1" s="146"/>
      <c r="R1" s="146"/>
      <c r="S1" s="146"/>
      <c r="T1" s="146"/>
      <c r="U1" s="146"/>
      <c r="V1" s="146"/>
      <c r="W1" s="146"/>
    </row>
    <row r="2" spans="1:23" ht="18.75">
      <c r="A2" s="148"/>
      <c r="B2" s="143" t="s">
        <v>564</v>
      </c>
      <c r="C2" s="144"/>
      <c r="D2" s="144"/>
      <c r="E2" s="144"/>
      <c r="F2" s="145"/>
      <c r="G2" s="146"/>
      <c r="H2" s="146"/>
      <c r="I2" s="146"/>
      <c r="J2" s="146"/>
      <c r="K2" s="146"/>
      <c r="L2" s="146"/>
      <c r="M2" s="146"/>
      <c r="N2" s="146"/>
      <c r="O2" s="146"/>
      <c r="P2" s="146"/>
      <c r="Q2" s="146"/>
      <c r="R2" s="146"/>
      <c r="S2" s="146"/>
      <c r="T2" s="146"/>
      <c r="U2" s="146"/>
      <c r="V2" s="146"/>
      <c r="W2" s="146"/>
    </row>
    <row r="3" spans="1:23" ht="15.75" customHeight="1">
      <c r="A3" s="148"/>
      <c r="B3" s="143"/>
      <c r="C3" s="144"/>
      <c r="D3" s="144"/>
      <c r="E3" s="144"/>
      <c r="F3" s="145"/>
      <c r="G3" s="149"/>
      <c r="H3" s="149"/>
      <c r="I3" s="149"/>
      <c r="J3" s="150"/>
      <c r="K3" s="150"/>
      <c r="L3" s="150"/>
      <c r="M3" s="149"/>
      <c r="N3" s="149"/>
      <c r="O3" s="149"/>
      <c r="P3" s="150"/>
      <c r="Q3" s="150"/>
      <c r="R3" s="150"/>
      <c r="S3" s="150"/>
      <c r="T3" s="146"/>
      <c r="U3" s="146"/>
      <c r="V3" s="146"/>
      <c r="W3" s="146"/>
    </row>
    <row r="4" spans="1:23" ht="18.75">
      <c r="A4" s="969" t="s">
        <v>448</v>
      </c>
      <c r="B4" s="969"/>
      <c r="C4" s="969"/>
      <c r="D4" s="969"/>
      <c r="E4" s="969"/>
      <c r="F4" s="969"/>
      <c r="G4" s="969"/>
      <c r="H4" s="969"/>
      <c r="I4" s="969"/>
      <c r="J4" s="969"/>
      <c r="K4" s="969"/>
      <c r="L4" s="969"/>
      <c r="M4" s="969"/>
      <c r="N4" s="969"/>
      <c r="O4" s="969"/>
      <c r="P4" s="969"/>
      <c r="Q4" s="969"/>
      <c r="R4" s="969"/>
      <c r="S4" s="969"/>
      <c r="T4" s="969"/>
      <c r="U4" s="969"/>
      <c r="V4" s="969"/>
      <c r="W4" s="146"/>
    </row>
    <row r="5" spans="1:23" ht="23.25" customHeight="1">
      <c r="A5" s="969" t="s">
        <v>882</v>
      </c>
      <c r="B5" s="969"/>
      <c r="C5" s="969"/>
      <c r="D5" s="969"/>
      <c r="E5" s="969"/>
      <c r="F5" s="969"/>
      <c r="G5" s="969"/>
      <c r="H5" s="969"/>
      <c r="I5" s="969"/>
      <c r="J5" s="969"/>
      <c r="K5" s="969"/>
      <c r="L5" s="969"/>
      <c r="M5" s="969"/>
      <c r="N5" s="969"/>
      <c r="O5" s="969"/>
      <c r="P5" s="969"/>
      <c r="Q5" s="969"/>
      <c r="R5" s="969"/>
      <c r="S5" s="969"/>
      <c r="T5" s="969"/>
      <c r="U5" s="969"/>
      <c r="V5" s="969"/>
      <c r="W5" s="146"/>
    </row>
    <row r="6" spans="1:23" ht="23.25" customHeight="1">
      <c r="A6" s="972" t="s">
        <v>888</v>
      </c>
      <c r="B6" s="972"/>
      <c r="C6" s="972"/>
      <c r="D6" s="972"/>
      <c r="E6" s="972"/>
      <c r="F6" s="972"/>
      <c r="G6" s="972"/>
      <c r="H6" s="972"/>
      <c r="I6" s="972"/>
      <c r="J6" s="972"/>
      <c r="K6" s="972"/>
      <c r="L6" s="972"/>
      <c r="M6" s="972"/>
      <c r="N6" s="972"/>
      <c r="O6" s="972"/>
      <c r="P6" s="972"/>
      <c r="Q6" s="972"/>
      <c r="R6" s="972"/>
      <c r="S6" s="972"/>
      <c r="T6" s="972"/>
      <c r="U6" s="972"/>
      <c r="V6" s="972"/>
      <c r="W6" s="146"/>
    </row>
    <row r="7" spans="1:23" ht="18.75">
      <c r="A7" s="145"/>
      <c r="B7" s="144"/>
      <c r="C7" s="145"/>
      <c r="D7" s="145"/>
      <c r="E7" s="145"/>
      <c r="F7" s="145"/>
      <c r="G7" s="151"/>
      <c r="H7" s="151"/>
      <c r="I7" s="151"/>
      <c r="J7" s="145"/>
      <c r="K7" s="144"/>
      <c r="L7" s="152"/>
      <c r="M7" s="153"/>
      <c r="N7" s="153"/>
      <c r="O7" s="153"/>
      <c r="R7" s="144"/>
      <c r="S7" s="144"/>
      <c r="T7" s="971" t="s">
        <v>292</v>
      </c>
      <c r="U7" s="971"/>
      <c r="V7" s="971"/>
      <c r="W7" s="146"/>
    </row>
    <row r="8" spans="1:23" ht="34.5" customHeight="1">
      <c r="A8" s="961" t="s">
        <v>293</v>
      </c>
      <c r="B8" s="961" t="s">
        <v>449</v>
      </c>
      <c r="C8" s="961" t="s">
        <v>450</v>
      </c>
      <c r="D8" s="961" t="s">
        <v>451</v>
      </c>
      <c r="E8" s="961" t="s">
        <v>0</v>
      </c>
      <c r="F8" s="961" t="s">
        <v>499</v>
      </c>
      <c r="G8" s="963" t="s">
        <v>452</v>
      </c>
      <c r="H8" s="964"/>
      <c r="I8" s="964"/>
      <c r="J8" s="965"/>
      <c r="K8" s="966" t="s">
        <v>508</v>
      </c>
      <c r="L8" s="967"/>
      <c r="M8" s="967"/>
      <c r="N8" s="967"/>
      <c r="O8" s="967"/>
      <c r="P8" s="968"/>
      <c r="Q8" s="961" t="s">
        <v>453</v>
      </c>
      <c r="R8" s="961" t="s">
        <v>454</v>
      </c>
      <c r="S8" s="961" t="s">
        <v>455</v>
      </c>
      <c r="T8" s="970" t="s">
        <v>70</v>
      </c>
      <c r="U8" s="970"/>
      <c r="V8" s="970"/>
      <c r="W8" s="146"/>
    </row>
    <row r="9" spans="1:23" ht="157.5" customHeight="1">
      <c r="A9" s="962"/>
      <c r="B9" s="962"/>
      <c r="C9" s="962"/>
      <c r="D9" s="962"/>
      <c r="E9" s="962"/>
      <c r="F9" s="962"/>
      <c r="G9" s="154" t="s">
        <v>456</v>
      </c>
      <c r="H9" s="154" t="s">
        <v>457</v>
      </c>
      <c r="I9" s="154" t="s">
        <v>458</v>
      </c>
      <c r="J9" s="155" t="s">
        <v>459</v>
      </c>
      <c r="K9" s="155" t="s">
        <v>460</v>
      </c>
      <c r="L9" s="156" t="s">
        <v>461</v>
      </c>
      <c r="M9" s="154" t="s">
        <v>462</v>
      </c>
      <c r="N9" s="154" t="s">
        <v>463</v>
      </c>
      <c r="O9" s="154" t="s">
        <v>464</v>
      </c>
      <c r="P9" s="156" t="s">
        <v>465</v>
      </c>
      <c r="Q9" s="962"/>
      <c r="R9" s="962"/>
      <c r="S9" s="962"/>
      <c r="T9" s="157" t="s">
        <v>453</v>
      </c>
      <c r="U9" s="157" t="s">
        <v>454</v>
      </c>
      <c r="V9" s="157" t="s">
        <v>455</v>
      </c>
      <c r="W9" s="146"/>
    </row>
    <row r="10" spans="1:23" s="166" customFormat="1" ht="24.75" customHeight="1">
      <c r="A10" s="158" t="s">
        <v>466</v>
      </c>
      <c r="B10" s="158" t="s">
        <v>467</v>
      </c>
      <c r="C10" s="158" t="s">
        <v>468</v>
      </c>
      <c r="D10" s="158" t="s">
        <v>469</v>
      </c>
      <c r="E10" s="158" t="s">
        <v>470</v>
      </c>
      <c r="F10" s="159">
        <v>6</v>
      </c>
      <c r="G10" s="160" t="s">
        <v>471</v>
      </c>
      <c r="H10" s="160" t="s">
        <v>472</v>
      </c>
      <c r="I10" s="161" t="s">
        <v>473</v>
      </c>
      <c r="J10" s="162">
        <v>8</v>
      </c>
      <c r="K10" s="162" t="s">
        <v>474</v>
      </c>
      <c r="L10" s="162">
        <v>10</v>
      </c>
      <c r="M10" s="163">
        <v>11</v>
      </c>
      <c r="N10" s="164">
        <v>13</v>
      </c>
      <c r="O10" s="164">
        <v>14</v>
      </c>
      <c r="P10" s="162">
        <v>15</v>
      </c>
      <c r="Q10" s="162" t="s">
        <v>475</v>
      </c>
      <c r="R10" s="162" t="s">
        <v>500</v>
      </c>
      <c r="S10" s="162" t="s">
        <v>501</v>
      </c>
      <c r="T10" s="194">
        <v>19</v>
      </c>
      <c r="U10" s="194">
        <v>20</v>
      </c>
      <c r="V10" s="194">
        <v>21</v>
      </c>
      <c r="W10" s="165"/>
    </row>
    <row r="11" spans="1:23" ht="27.75" customHeight="1">
      <c r="A11" s="167"/>
      <c r="B11" s="168" t="s">
        <v>476</v>
      </c>
      <c r="C11" s="169">
        <f aca="true" t="shared" si="0" ref="C11:S11">C12+C13+C14+C15</f>
        <v>436</v>
      </c>
      <c r="D11" s="169">
        <f t="shared" si="0"/>
        <v>29</v>
      </c>
      <c r="E11" s="169">
        <f t="shared" si="0"/>
        <v>18</v>
      </c>
      <c r="F11" s="169">
        <f t="shared" si="0"/>
        <v>0</v>
      </c>
      <c r="G11" s="169">
        <f t="shared" si="0"/>
        <v>136.58599999999998</v>
      </c>
      <c r="H11" s="169">
        <f t="shared" si="0"/>
        <v>195.13</v>
      </c>
      <c r="I11" s="169">
        <f t="shared" si="0"/>
        <v>58.541</v>
      </c>
      <c r="J11" s="169">
        <f t="shared" si="0"/>
        <v>0</v>
      </c>
      <c r="K11" s="169">
        <f t="shared" si="0"/>
        <v>459.89</v>
      </c>
      <c r="L11" s="169">
        <f t="shared" si="0"/>
        <v>106.75</v>
      </c>
      <c r="M11" s="169">
        <f t="shared" si="0"/>
        <v>11.950000000000001</v>
      </c>
      <c r="N11" s="169">
        <f t="shared" si="0"/>
        <v>259.85</v>
      </c>
      <c r="O11" s="169">
        <f t="shared" si="0"/>
        <v>59</v>
      </c>
      <c r="P11" s="169">
        <f t="shared" si="0"/>
        <v>22.34</v>
      </c>
      <c r="Q11" s="169">
        <f t="shared" si="0"/>
        <v>323.304</v>
      </c>
      <c r="R11" s="169">
        <f t="shared" si="0"/>
        <v>35.457</v>
      </c>
      <c r="S11" s="169">
        <f t="shared" si="0"/>
        <v>287.847</v>
      </c>
      <c r="T11" s="170">
        <f>T12+T13+T14+T15+T16+T17+T18</f>
        <v>362</v>
      </c>
      <c r="U11" s="170">
        <f>U12+U13+U14+U15+U16+U17+U18</f>
        <v>36</v>
      </c>
      <c r="V11" s="170">
        <f>V12+V13+V14+V15+V16+V17+V18</f>
        <v>326</v>
      </c>
      <c r="W11" s="146"/>
    </row>
    <row r="12" spans="1:23" ht="38.25" customHeight="1">
      <c r="A12" s="155" t="s">
        <v>295</v>
      </c>
      <c r="B12" s="171" t="s">
        <v>516</v>
      </c>
      <c r="C12" s="172">
        <v>34</v>
      </c>
      <c r="D12" s="172">
        <v>5</v>
      </c>
      <c r="E12" s="172">
        <v>4</v>
      </c>
      <c r="F12" s="172"/>
      <c r="G12" s="173">
        <v>11.8</v>
      </c>
      <c r="H12" s="173">
        <v>16.86</v>
      </c>
      <c r="I12" s="173">
        <v>5.06</v>
      </c>
      <c r="J12" s="174"/>
      <c r="K12" s="173">
        <v>49.37</v>
      </c>
      <c r="L12" s="173">
        <v>15.95</v>
      </c>
      <c r="M12" s="173">
        <v>3.19</v>
      </c>
      <c r="N12" s="173">
        <v>17.28</v>
      </c>
      <c r="O12" s="173">
        <v>5.36</v>
      </c>
      <c r="P12" s="173">
        <v>7.59</v>
      </c>
      <c r="Q12" s="173">
        <f>K12-G12</f>
        <v>37.56999999999999</v>
      </c>
      <c r="R12" s="173">
        <f>(K12-O12)*10%</f>
        <v>4.401</v>
      </c>
      <c r="S12" s="173">
        <f>K12-G12-R12</f>
        <v>33.169</v>
      </c>
      <c r="T12" s="195">
        <v>38</v>
      </c>
      <c r="U12" s="196">
        <f>4</f>
        <v>4</v>
      </c>
      <c r="V12" s="197">
        <f aca="true" t="shared" si="1" ref="V12:V17">T12-U12</f>
        <v>34</v>
      </c>
      <c r="W12" s="146"/>
    </row>
    <row r="13" spans="1:23" ht="38.25" customHeight="1">
      <c r="A13" s="155" t="s">
        <v>297</v>
      </c>
      <c r="B13" s="171" t="s">
        <v>502</v>
      </c>
      <c r="C13" s="172">
        <v>92</v>
      </c>
      <c r="D13" s="172">
        <v>6</v>
      </c>
      <c r="E13" s="172">
        <v>4</v>
      </c>
      <c r="F13" s="172"/>
      <c r="G13" s="173">
        <v>28.78</v>
      </c>
      <c r="H13" s="173">
        <v>41.12</v>
      </c>
      <c r="I13" s="173">
        <f>H13*30%</f>
        <v>12.335999999999999</v>
      </c>
      <c r="J13" s="174"/>
      <c r="K13" s="173">
        <v>111.49</v>
      </c>
      <c r="L13" s="173">
        <v>26.08</v>
      </c>
      <c r="M13" s="173">
        <v>2.8</v>
      </c>
      <c r="N13" s="173">
        <v>69.73</v>
      </c>
      <c r="O13" s="173">
        <v>10.73</v>
      </c>
      <c r="P13" s="173">
        <v>2.15</v>
      </c>
      <c r="Q13" s="173">
        <f>K13-G13</f>
        <v>82.71</v>
      </c>
      <c r="R13" s="173">
        <f>(K13-O13)*10%</f>
        <v>10.076</v>
      </c>
      <c r="S13" s="173">
        <f>K13-G13-R13</f>
        <v>72.63399999999999</v>
      </c>
      <c r="T13" s="195">
        <v>83</v>
      </c>
      <c r="U13" s="195">
        <v>8</v>
      </c>
      <c r="V13" s="197">
        <f t="shared" si="1"/>
        <v>75</v>
      </c>
      <c r="W13" s="146"/>
    </row>
    <row r="14" spans="1:24" s="177" customFormat="1" ht="42.75" customHeight="1">
      <c r="A14" s="155" t="s">
        <v>297</v>
      </c>
      <c r="B14" s="171" t="s">
        <v>517</v>
      </c>
      <c r="C14" s="172">
        <v>148</v>
      </c>
      <c r="D14" s="172">
        <v>9</v>
      </c>
      <c r="E14" s="172">
        <v>5</v>
      </c>
      <c r="F14" s="173"/>
      <c r="G14" s="173">
        <v>49.686</v>
      </c>
      <c r="H14" s="173">
        <v>70.98</v>
      </c>
      <c r="I14" s="173">
        <f>H14*30%</f>
        <v>21.294</v>
      </c>
      <c r="J14" s="174"/>
      <c r="K14" s="173">
        <v>151.02</v>
      </c>
      <c r="L14" s="173">
        <v>34</v>
      </c>
      <c r="M14" s="173">
        <v>3.4</v>
      </c>
      <c r="N14" s="173">
        <v>84.93</v>
      </c>
      <c r="O14" s="173">
        <v>16.09</v>
      </c>
      <c r="P14" s="175">
        <v>12.6</v>
      </c>
      <c r="Q14" s="173">
        <f>K14-G14</f>
        <v>101.334</v>
      </c>
      <c r="R14" s="173">
        <f>(K14-O14)*10%</f>
        <v>13.493000000000002</v>
      </c>
      <c r="S14" s="173">
        <f>K14-R14-G14</f>
        <v>87.84100000000001</v>
      </c>
      <c r="T14" s="195">
        <v>101</v>
      </c>
      <c r="U14" s="195">
        <v>10</v>
      </c>
      <c r="V14" s="197">
        <f t="shared" si="1"/>
        <v>91</v>
      </c>
      <c r="W14" s="176"/>
      <c r="X14" s="176">
        <f>W14*10%</f>
        <v>0</v>
      </c>
    </row>
    <row r="15" spans="1:22" ht="39.75" customHeight="1">
      <c r="A15" s="155" t="s">
        <v>298</v>
      </c>
      <c r="B15" s="178" t="s">
        <v>503</v>
      </c>
      <c r="C15" s="172">
        <v>162</v>
      </c>
      <c r="D15" s="172">
        <v>9</v>
      </c>
      <c r="E15" s="172">
        <v>5</v>
      </c>
      <c r="F15" s="173"/>
      <c r="G15" s="173">
        <v>46.32</v>
      </c>
      <c r="H15" s="173">
        <v>66.17</v>
      </c>
      <c r="I15" s="173">
        <f>H15*30%</f>
        <v>19.851</v>
      </c>
      <c r="J15" s="174"/>
      <c r="K15" s="173">
        <v>148.01</v>
      </c>
      <c r="L15" s="173">
        <v>30.72</v>
      </c>
      <c r="M15" s="173">
        <v>2.56</v>
      </c>
      <c r="N15" s="173">
        <v>87.91</v>
      </c>
      <c r="O15" s="173">
        <f>(8-3)*0.3*1.49*12</f>
        <v>26.82</v>
      </c>
      <c r="P15" s="175">
        <v>0</v>
      </c>
      <c r="Q15" s="173">
        <f>K15-G15</f>
        <v>101.69</v>
      </c>
      <c r="R15" s="173">
        <f>(Q15-O15)*0.1</f>
        <v>7.487000000000001</v>
      </c>
      <c r="S15" s="173">
        <f>Q15-R15</f>
        <v>94.203</v>
      </c>
      <c r="T15" s="198">
        <v>102</v>
      </c>
      <c r="U15" s="198">
        <v>10</v>
      </c>
      <c r="V15" s="197">
        <f t="shared" si="1"/>
        <v>92</v>
      </c>
    </row>
    <row r="16" spans="1:22" ht="60.75" customHeight="1">
      <c r="A16" s="705" t="s">
        <v>405</v>
      </c>
      <c r="B16" s="706" t="s">
        <v>614</v>
      </c>
      <c r="C16" s="192"/>
      <c r="D16" s="192"/>
      <c r="E16" s="192"/>
      <c r="F16" s="192"/>
      <c r="G16" s="707"/>
      <c r="H16" s="707"/>
      <c r="I16" s="707"/>
      <c r="J16" s="192"/>
      <c r="K16" s="192"/>
      <c r="L16" s="192"/>
      <c r="M16" s="707"/>
      <c r="N16" s="707"/>
      <c r="O16" s="707"/>
      <c r="P16" s="192"/>
      <c r="Q16" s="192"/>
      <c r="R16" s="192"/>
      <c r="S16" s="192"/>
      <c r="T16" s="197">
        <v>19</v>
      </c>
      <c r="U16" s="198">
        <v>2</v>
      </c>
      <c r="V16" s="197">
        <f t="shared" si="1"/>
        <v>17</v>
      </c>
    </row>
    <row r="17" spans="1:22" ht="63" customHeight="1">
      <c r="A17" s="705" t="s">
        <v>445</v>
      </c>
      <c r="B17" s="706" t="s">
        <v>71</v>
      </c>
      <c r="C17" s="192"/>
      <c r="D17" s="192"/>
      <c r="E17" s="192"/>
      <c r="F17" s="192"/>
      <c r="G17" s="707"/>
      <c r="H17" s="707"/>
      <c r="I17" s="707"/>
      <c r="J17" s="192"/>
      <c r="K17" s="192"/>
      <c r="L17" s="192"/>
      <c r="M17" s="707"/>
      <c r="N17" s="707"/>
      <c r="O17" s="707"/>
      <c r="P17" s="192"/>
      <c r="Q17" s="192"/>
      <c r="R17" s="192"/>
      <c r="S17" s="192"/>
      <c r="T17" s="197">
        <v>19</v>
      </c>
      <c r="U17" s="198">
        <v>2</v>
      </c>
      <c r="V17" s="197">
        <f t="shared" si="1"/>
        <v>17</v>
      </c>
    </row>
    <row r="18" spans="1:22" s="184" customFormat="1" ht="33" hidden="1">
      <c r="A18" s="179" t="s">
        <v>556</v>
      </c>
      <c r="B18" s="180" t="s">
        <v>53</v>
      </c>
      <c r="C18" s="181"/>
      <c r="D18" s="181"/>
      <c r="E18" s="181"/>
      <c r="F18" s="181"/>
      <c r="G18" s="182"/>
      <c r="H18" s="182"/>
      <c r="I18" s="182"/>
      <c r="J18" s="181"/>
      <c r="K18" s="181"/>
      <c r="L18" s="181"/>
      <c r="M18" s="182"/>
      <c r="N18" s="182"/>
      <c r="O18" s="182"/>
      <c r="P18" s="181"/>
      <c r="Q18" s="181"/>
      <c r="R18" s="181"/>
      <c r="S18" s="181"/>
      <c r="T18" s="183">
        <f>SUM(T19:T23)</f>
        <v>0</v>
      </c>
      <c r="U18" s="183">
        <f>SUM(U19:U23)</f>
        <v>0</v>
      </c>
      <c r="V18" s="183">
        <f>SUM(V19:V23)</f>
        <v>0</v>
      </c>
    </row>
    <row r="19" spans="1:22" s="191" customFormat="1" ht="34.5" customHeight="1" hidden="1">
      <c r="A19" s="185"/>
      <c r="B19" s="186" t="s">
        <v>51</v>
      </c>
      <c r="C19" s="187"/>
      <c r="D19" s="188"/>
      <c r="E19" s="188"/>
      <c r="F19" s="188"/>
      <c r="G19" s="189"/>
      <c r="H19" s="189"/>
      <c r="I19" s="189"/>
      <c r="J19" s="188"/>
      <c r="K19" s="188"/>
      <c r="L19" s="188"/>
      <c r="M19" s="189"/>
      <c r="N19" s="189"/>
      <c r="O19" s="189"/>
      <c r="P19" s="188"/>
      <c r="Q19" s="188"/>
      <c r="R19" s="188"/>
      <c r="S19" s="188"/>
      <c r="T19" s="190"/>
      <c r="U19" s="188"/>
      <c r="V19" s="190">
        <f>T19-U19</f>
        <v>0</v>
      </c>
    </row>
    <row r="20" spans="1:22" ht="33" customHeight="1" hidden="1">
      <c r="A20" s="192"/>
      <c r="B20" s="186" t="s">
        <v>52</v>
      </c>
      <c r="C20" s="188"/>
      <c r="D20" s="188"/>
      <c r="E20" s="188"/>
      <c r="F20" s="188"/>
      <c r="G20" s="189"/>
      <c r="H20" s="189"/>
      <c r="I20" s="189"/>
      <c r="J20" s="188"/>
      <c r="K20" s="188"/>
      <c r="L20" s="188"/>
      <c r="M20" s="189"/>
      <c r="N20" s="189"/>
      <c r="O20" s="189"/>
      <c r="P20" s="188"/>
      <c r="Q20" s="188"/>
      <c r="R20" s="188"/>
      <c r="S20" s="188"/>
      <c r="T20" s="190"/>
      <c r="U20" s="188"/>
      <c r="V20" s="190">
        <f>T20-U20</f>
        <v>0</v>
      </c>
    </row>
    <row r="21" spans="1:22" ht="31.5" customHeight="1" hidden="1">
      <c r="A21" s="192"/>
      <c r="B21" s="186" t="s">
        <v>54</v>
      </c>
      <c r="C21" s="188"/>
      <c r="D21" s="188"/>
      <c r="E21" s="188"/>
      <c r="F21" s="188"/>
      <c r="G21" s="189"/>
      <c r="H21" s="189"/>
      <c r="I21" s="189"/>
      <c r="J21" s="188"/>
      <c r="K21" s="188"/>
      <c r="L21" s="188"/>
      <c r="M21" s="189"/>
      <c r="N21" s="189"/>
      <c r="O21" s="189"/>
      <c r="P21" s="188"/>
      <c r="Q21" s="188"/>
      <c r="R21" s="188"/>
      <c r="S21" s="188"/>
      <c r="T21" s="190"/>
      <c r="U21" s="188"/>
      <c r="V21" s="190">
        <f>T21-U21</f>
        <v>0</v>
      </c>
    </row>
    <row r="22" spans="1:22" ht="31.5" customHeight="1" hidden="1">
      <c r="A22" s="192"/>
      <c r="B22" s="186" t="s">
        <v>55</v>
      </c>
      <c r="C22" s="187"/>
      <c r="D22" s="188"/>
      <c r="E22" s="188"/>
      <c r="F22" s="188"/>
      <c r="G22" s="189"/>
      <c r="H22" s="189"/>
      <c r="I22" s="189"/>
      <c r="J22" s="188"/>
      <c r="K22" s="188"/>
      <c r="L22" s="188"/>
      <c r="M22" s="189"/>
      <c r="N22" s="189"/>
      <c r="O22" s="189"/>
      <c r="P22" s="188"/>
      <c r="Q22" s="188"/>
      <c r="R22" s="188"/>
      <c r="S22" s="188"/>
      <c r="T22" s="190"/>
      <c r="U22" s="188"/>
      <c r="V22" s="190">
        <f>T22-U22</f>
        <v>0</v>
      </c>
    </row>
    <row r="23" spans="1:22" ht="33" customHeight="1" hidden="1">
      <c r="A23" s="192"/>
      <c r="B23" s="186" t="s">
        <v>56</v>
      </c>
      <c r="C23" s="188"/>
      <c r="D23" s="188"/>
      <c r="E23" s="188"/>
      <c r="F23" s="188"/>
      <c r="G23" s="189"/>
      <c r="H23" s="189"/>
      <c r="I23" s="189"/>
      <c r="J23" s="188"/>
      <c r="K23" s="188"/>
      <c r="L23" s="188"/>
      <c r="M23" s="189"/>
      <c r="N23" s="189"/>
      <c r="O23" s="189"/>
      <c r="P23" s="188"/>
      <c r="Q23" s="188"/>
      <c r="R23" s="188"/>
      <c r="S23" s="188"/>
      <c r="T23" s="190"/>
      <c r="U23" s="188"/>
      <c r="V23" s="190">
        <f>T23-U23</f>
        <v>0</v>
      </c>
    </row>
  </sheetData>
  <sheetProtection/>
  <mergeCells count="16">
    <mergeCell ref="A4:V4"/>
    <mergeCell ref="T8:V8"/>
    <mergeCell ref="T7:V7"/>
    <mergeCell ref="A5:V5"/>
    <mergeCell ref="A6:V6"/>
    <mergeCell ref="B8:B9"/>
    <mergeCell ref="C8:C9"/>
    <mergeCell ref="D8:D9"/>
    <mergeCell ref="E8:E9"/>
    <mergeCell ref="F8:F9"/>
    <mergeCell ref="A8:A9"/>
    <mergeCell ref="G8:J8"/>
    <mergeCell ref="K8:P8"/>
    <mergeCell ref="S8:S9"/>
    <mergeCell ref="Q8:Q9"/>
    <mergeCell ref="R8:R9"/>
  </mergeCells>
  <printOptions/>
  <pageMargins left="0.46" right="0.31" top="0.3" bottom="0.3" header="0.5" footer="0.37"/>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rgb="FF0070C0"/>
  </sheetPr>
  <dimension ref="A1:T48"/>
  <sheetViews>
    <sheetView zoomScale="130" zoomScaleNormal="130" zoomScalePageLayoutView="0" workbookViewId="0" topLeftCell="A1">
      <selection activeCell="B6" sqref="B6:S6"/>
    </sheetView>
  </sheetViews>
  <sheetFormatPr defaultColWidth="4.57421875" defaultRowHeight="18.75" customHeight="1"/>
  <cols>
    <col min="1" max="1" width="4.00390625" style="500" customWidth="1"/>
    <col min="2" max="2" width="31.28125" style="499" customWidth="1"/>
    <col min="3" max="3" width="7.421875" style="500" customWidth="1"/>
    <col min="4" max="5" width="7.7109375" style="500" customWidth="1"/>
    <col min="6" max="7" width="7.7109375" style="507" customWidth="1"/>
    <col min="8" max="8" width="8.140625" style="507" customWidth="1"/>
    <col min="9" max="19" width="7.7109375" style="507" customWidth="1"/>
    <col min="20" max="20" width="10.421875" style="499" customWidth="1"/>
    <col min="21" max="16384" width="4.57421875" style="499" customWidth="1"/>
  </cols>
  <sheetData>
    <row r="1" spans="1:19" ht="18.75" customHeight="1">
      <c r="A1" s="494"/>
      <c r="B1" s="92" t="s">
        <v>65</v>
      </c>
      <c r="C1" s="495"/>
      <c r="D1" s="496"/>
      <c r="E1" s="497"/>
      <c r="F1" s="497"/>
      <c r="G1" s="498"/>
      <c r="H1" s="974"/>
      <c r="I1" s="974"/>
      <c r="J1" s="974"/>
      <c r="K1" s="974"/>
      <c r="L1" s="974"/>
      <c r="M1" s="974"/>
      <c r="N1" s="974"/>
      <c r="O1" s="974"/>
      <c r="P1" s="974"/>
      <c r="Q1" s="974"/>
      <c r="R1" s="498"/>
      <c r="S1" s="498"/>
    </row>
    <row r="2" spans="2:19" ht="18.75" customHeight="1">
      <c r="B2" s="92" t="s">
        <v>64</v>
      </c>
      <c r="C2" s="495"/>
      <c r="D2" s="496"/>
      <c r="E2" s="497"/>
      <c r="F2" s="497"/>
      <c r="G2" s="498"/>
      <c r="H2" s="500"/>
      <c r="I2" s="501"/>
      <c r="J2" s="500"/>
      <c r="K2" s="502"/>
      <c r="L2" s="501"/>
      <c r="M2" s="501"/>
      <c r="N2" s="501"/>
      <c r="O2" s="501"/>
      <c r="P2" s="501"/>
      <c r="Q2" s="501"/>
      <c r="R2" s="498"/>
      <c r="S2" s="498"/>
    </row>
    <row r="3" spans="2:19" ht="7.5" customHeight="1">
      <c r="B3" s="494"/>
      <c r="C3" s="494"/>
      <c r="D3" s="494"/>
      <c r="E3" s="494"/>
      <c r="F3" s="503"/>
      <c r="G3" s="503"/>
      <c r="H3" s="503"/>
      <c r="I3" s="503"/>
      <c r="J3" s="503"/>
      <c r="K3" s="503"/>
      <c r="L3" s="503"/>
      <c r="M3" s="503"/>
      <c r="N3" s="503"/>
      <c r="O3" s="503"/>
      <c r="P3" s="503"/>
      <c r="Q3" s="503"/>
      <c r="R3" s="503"/>
      <c r="S3" s="503"/>
    </row>
    <row r="4" spans="2:19" ht="18.75" customHeight="1">
      <c r="B4" s="976" t="s">
        <v>209</v>
      </c>
      <c r="C4" s="976"/>
      <c r="D4" s="976"/>
      <c r="E4" s="976"/>
      <c r="F4" s="976"/>
      <c r="G4" s="976"/>
      <c r="H4" s="976"/>
      <c r="I4" s="976"/>
      <c r="J4" s="976"/>
      <c r="K4" s="976"/>
      <c r="L4" s="976"/>
      <c r="M4" s="976"/>
      <c r="N4" s="976"/>
      <c r="O4" s="976"/>
      <c r="P4" s="976"/>
      <c r="Q4" s="976"/>
      <c r="R4" s="976"/>
      <c r="S4" s="976"/>
    </row>
    <row r="5" spans="2:19" ht="18.75" customHeight="1">
      <c r="B5" s="975" t="s">
        <v>881</v>
      </c>
      <c r="C5" s="975"/>
      <c r="D5" s="975"/>
      <c r="E5" s="975"/>
      <c r="F5" s="975"/>
      <c r="G5" s="975"/>
      <c r="H5" s="975"/>
      <c r="I5" s="975"/>
      <c r="J5" s="975"/>
      <c r="K5" s="975"/>
      <c r="L5" s="975"/>
      <c r="M5" s="975"/>
      <c r="N5" s="975"/>
      <c r="O5" s="975"/>
      <c r="P5" s="975"/>
      <c r="Q5" s="975"/>
      <c r="R5" s="975"/>
      <c r="S5" s="975"/>
    </row>
    <row r="6" spans="2:20" ht="18.75" customHeight="1">
      <c r="B6" s="977" t="s">
        <v>888</v>
      </c>
      <c r="C6" s="977"/>
      <c r="D6" s="977"/>
      <c r="E6" s="977"/>
      <c r="F6" s="977"/>
      <c r="G6" s="977"/>
      <c r="H6" s="977"/>
      <c r="I6" s="977"/>
      <c r="J6" s="977"/>
      <c r="K6" s="977"/>
      <c r="L6" s="977"/>
      <c r="M6" s="977"/>
      <c r="N6" s="977"/>
      <c r="O6" s="977"/>
      <c r="P6" s="977"/>
      <c r="Q6" s="977"/>
      <c r="R6" s="977"/>
      <c r="S6" s="977"/>
      <c r="T6" s="505"/>
    </row>
    <row r="7" spans="2:20" ht="13.5" customHeight="1">
      <c r="B7" s="504"/>
      <c r="C7" s="504"/>
      <c r="D7" s="504"/>
      <c r="E7" s="506"/>
      <c r="F7" s="504"/>
      <c r="G7" s="504"/>
      <c r="H7" s="504"/>
      <c r="I7" s="504"/>
      <c r="J7" s="504"/>
      <c r="K7" s="504"/>
      <c r="L7" s="504"/>
      <c r="M7" s="504"/>
      <c r="N7" s="504"/>
      <c r="O7" s="504"/>
      <c r="P7" s="504"/>
      <c r="Q7" s="504"/>
      <c r="R7" s="504"/>
      <c r="S7" s="504"/>
      <c r="T7" s="504"/>
    </row>
    <row r="8" spans="6:19" ht="18.75" customHeight="1">
      <c r="F8" s="503"/>
      <c r="H8" s="503"/>
      <c r="J8" s="503"/>
      <c r="L8" s="503"/>
      <c r="N8" s="503"/>
      <c r="P8" s="503"/>
      <c r="Q8" s="973" t="s">
        <v>292</v>
      </c>
      <c r="R8" s="973"/>
      <c r="S8" s="973"/>
    </row>
    <row r="9" spans="1:19" s="509" customFormat="1" ht="17.25" customHeight="1">
      <c r="A9" s="978" t="s">
        <v>293</v>
      </c>
      <c r="B9" s="978" t="s">
        <v>91</v>
      </c>
      <c r="C9" s="978" t="s">
        <v>92</v>
      </c>
      <c r="D9" s="979" t="s">
        <v>836</v>
      </c>
      <c r="E9" s="979"/>
      <c r="F9" s="979"/>
      <c r="G9" s="979"/>
      <c r="H9" s="979"/>
      <c r="I9" s="979"/>
      <c r="J9" s="979"/>
      <c r="K9" s="979"/>
      <c r="L9" s="979"/>
      <c r="M9" s="979"/>
      <c r="N9" s="979"/>
      <c r="O9" s="979"/>
      <c r="P9" s="979"/>
      <c r="Q9" s="979"/>
      <c r="R9" s="979"/>
      <c r="S9" s="979"/>
    </row>
    <row r="10" spans="1:19" s="509" customFormat="1" ht="34.5" customHeight="1">
      <c r="A10" s="978"/>
      <c r="B10" s="978"/>
      <c r="C10" s="978"/>
      <c r="D10" s="508" t="s">
        <v>327</v>
      </c>
      <c r="E10" s="510" t="s">
        <v>93</v>
      </c>
      <c r="F10" s="510" t="s">
        <v>94</v>
      </c>
      <c r="G10" s="510" t="s">
        <v>95</v>
      </c>
      <c r="H10" s="510" t="s">
        <v>96</v>
      </c>
      <c r="I10" s="510" t="s">
        <v>97</v>
      </c>
      <c r="J10" s="510" t="s">
        <v>98</v>
      </c>
      <c r="K10" s="510" t="s">
        <v>100</v>
      </c>
      <c r="L10" s="510" t="s">
        <v>101</v>
      </c>
      <c r="M10" s="510" t="s">
        <v>105</v>
      </c>
      <c r="N10" s="510" t="s">
        <v>106</v>
      </c>
      <c r="O10" s="510" t="s">
        <v>107</v>
      </c>
      <c r="P10" s="510" t="s">
        <v>99</v>
      </c>
      <c r="Q10" s="510" t="s">
        <v>102</v>
      </c>
      <c r="R10" s="510" t="s">
        <v>103</v>
      </c>
      <c r="S10" s="510" t="s">
        <v>104</v>
      </c>
    </row>
    <row r="11" spans="1:19" s="509" customFormat="1" ht="18" customHeight="1">
      <c r="A11" s="511">
        <v>1</v>
      </c>
      <c r="B11" s="511">
        <v>2</v>
      </c>
      <c r="C11" s="511">
        <v>3</v>
      </c>
      <c r="D11" s="512">
        <v>4</v>
      </c>
      <c r="E11" s="512">
        <v>5</v>
      </c>
      <c r="F11" s="512">
        <v>6</v>
      </c>
      <c r="G11" s="512">
        <v>7</v>
      </c>
      <c r="H11" s="512">
        <v>8</v>
      </c>
      <c r="I11" s="512">
        <v>9</v>
      </c>
      <c r="J11" s="512">
        <v>10</v>
      </c>
      <c r="K11" s="512">
        <v>12</v>
      </c>
      <c r="L11" s="512">
        <v>13</v>
      </c>
      <c r="M11" s="512">
        <v>17</v>
      </c>
      <c r="N11" s="512">
        <v>18</v>
      </c>
      <c r="O11" s="512">
        <v>19</v>
      </c>
      <c r="P11" s="512">
        <v>11</v>
      </c>
      <c r="Q11" s="512">
        <v>14</v>
      </c>
      <c r="R11" s="512">
        <v>15</v>
      </c>
      <c r="S11" s="512">
        <v>16</v>
      </c>
    </row>
    <row r="12" spans="1:20" s="509" customFormat="1" ht="12.75">
      <c r="A12" s="513" t="s">
        <v>294</v>
      </c>
      <c r="B12" s="513" t="s">
        <v>108</v>
      </c>
      <c r="C12" s="513"/>
      <c r="D12" s="105">
        <f>D13+D34</f>
        <v>60324</v>
      </c>
      <c r="E12" s="105">
        <f aca="true" t="shared" si="0" ref="E12:S12">E13+E34</f>
        <v>9058</v>
      </c>
      <c r="F12" s="105">
        <f t="shared" si="0"/>
        <v>5998</v>
      </c>
      <c r="G12" s="105">
        <f t="shared" si="0"/>
        <v>6360</v>
      </c>
      <c r="H12" s="105">
        <f t="shared" si="0"/>
        <v>3588</v>
      </c>
      <c r="I12" s="105">
        <f t="shared" si="0"/>
        <v>6090</v>
      </c>
      <c r="J12" s="105">
        <f t="shared" si="0"/>
        <v>1059</v>
      </c>
      <c r="K12" s="105">
        <f t="shared" si="0"/>
        <v>3510</v>
      </c>
      <c r="L12" s="105">
        <f t="shared" si="0"/>
        <v>1083</v>
      </c>
      <c r="M12" s="105">
        <f t="shared" si="0"/>
        <v>3844</v>
      </c>
      <c r="N12" s="105">
        <f t="shared" si="0"/>
        <v>1778</v>
      </c>
      <c r="O12" s="105">
        <f t="shared" si="0"/>
        <v>2592</v>
      </c>
      <c r="P12" s="105">
        <f t="shared" si="0"/>
        <v>3869</v>
      </c>
      <c r="Q12" s="105">
        <f t="shared" si="0"/>
        <v>1910</v>
      </c>
      <c r="R12" s="105">
        <f t="shared" si="0"/>
        <v>3356</v>
      </c>
      <c r="S12" s="105">
        <f t="shared" si="0"/>
        <v>6229</v>
      </c>
      <c r="T12" s="514"/>
    </row>
    <row r="13" spans="1:19" s="509" customFormat="1" ht="12.75">
      <c r="A13" s="515" t="s">
        <v>295</v>
      </c>
      <c r="B13" s="516" t="s">
        <v>675</v>
      </c>
      <c r="C13" s="515"/>
      <c r="D13" s="487">
        <f>D14+D18+D21+D22+D23+D26+D27+D30</f>
        <v>52005</v>
      </c>
      <c r="E13" s="487">
        <f aca="true" t="shared" si="1" ref="E13:S13">E14+E18+E21+E22+E23+E26+E27+E30</f>
        <v>9058</v>
      </c>
      <c r="F13" s="487">
        <f t="shared" si="1"/>
        <v>5998</v>
      </c>
      <c r="G13" s="487">
        <f t="shared" si="1"/>
        <v>6360</v>
      </c>
      <c r="H13" s="487">
        <f t="shared" si="1"/>
        <v>3588</v>
      </c>
      <c r="I13" s="487">
        <f t="shared" si="1"/>
        <v>6090</v>
      </c>
      <c r="J13" s="487">
        <f t="shared" si="1"/>
        <v>1059</v>
      </c>
      <c r="K13" s="487">
        <f t="shared" si="1"/>
        <v>3510</v>
      </c>
      <c r="L13" s="487">
        <f t="shared" si="1"/>
        <v>1083</v>
      </c>
      <c r="M13" s="487">
        <f t="shared" si="1"/>
        <v>3844</v>
      </c>
      <c r="N13" s="487">
        <f t="shared" si="1"/>
        <v>1778</v>
      </c>
      <c r="O13" s="487">
        <f t="shared" si="1"/>
        <v>2592</v>
      </c>
      <c r="P13" s="487">
        <f t="shared" si="1"/>
        <v>1717</v>
      </c>
      <c r="Q13" s="487">
        <f t="shared" si="1"/>
        <v>1290</v>
      </c>
      <c r="R13" s="487">
        <f t="shared" si="1"/>
        <v>1925</v>
      </c>
      <c r="S13" s="487">
        <f t="shared" si="1"/>
        <v>2113</v>
      </c>
    </row>
    <row r="14" spans="1:19" s="509" customFormat="1" ht="12.75">
      <c r="A14" s="515">
        <v>1</v>
      </c>
      <c r="B14" s="517" t="s">
        <v>303</v>
      </c>
      <c r="C14" s="518"/>
      <c r="D14" s="487">
        <f>SUM(D15:D17)</f>
        <v>24300</v>
      </c>
      <c r="E14" s="487">
        <f aca="true" t="shared" si="2" ref="E14:S14">SUM(E15:E17)</f>
        <v>5150</v>
      </c>
      <c r="F14" s="487">
        <f t="shared" si="2"/>
        <v>3350</v>
      </c>
      <c r="G14" s="487">
        <f t="shared" si="2"/>
        <v>3515</v>
      </c>
      <c r="H14" s="487">
        <f t="shared" si="2"/>
        <v>1955</v>
      </c>
      <c r="I14" s="487">
        <f t="shared" si="2"/>
        <v>3360</v>
      </c>
      <c r="J14" s="487">
        <f t="shared" si="2"/>
        <v>480</v>
      </c>
      <c r="K14" s="487">
        <f t="shared" si="2"/>
        <v>1235</v>
      </c>
      <c r="L14" s="487">
        <f t="shared" si="2"/>
        <v>400</v>
      </c>
      <c r="M14" s="487">
        <f t="shared" si="2"/>
        <v>1705</v>
      </c>
      <c r="N14" s="487">
        <f t="shared" si="2"/>
        <v>550</v>
      </c>
      <c r="O14" s="487">
        <f t="shared" si="2"/>
        <v>1070</v>
      </c>
      <c r="P14" s="487">
        <f t="shared" si="2"/>
        <v>350</v>
      </c>
      <c r="Q14" s="487">
        <f t="shared" si="2"/>
        <v>430</v>
      </c>
      <c r="R14" s="487">
        <f t="shared" si="2"/>
        <v>470</v>
      </c>
      <c r="S14" s="487">
        <f t="shared" si="2"/>
        <v>280</v>
      </c>
    </row>
    <row r="15" spans="1:19" s="509" customFormat="1" ht="12.75">
      <c r="A15" s="519" t="s">
        <v>109</v>
      </c>
      <c r="B15" s="520" t="s">
        <v>110</v>
      </c>
      <c r="C15" s="521">
        <v>0</v>
      </c>
      <c r="D15" s="490">
        <f>SUM(E15:S15)</f>
        <v>24130</v>
      </c>
      <c r="E15" s="489">
        <v>5100</v>
      </c>
      <c r="F15" s="489">
        <v>3350</v>
      </c>
      <c r="G15" s="490">
        <v>3500</v>
      </c>
      <c r="H15" s="522">
        <v>1900</v>
      </c>
      <c r="I15" s="492">
        <v>3350</v>
      </c>
      <c r="J15" s="490">
        <v>480</v>
      </c>
      <c r="K15" s="490">
        <v>1220</v>
      </c>
      <c r="L15" s="490">
        <v>400</v>
      </c>
      <c r="M15" s="490">
        <v>1700</v>
      </c>
      <c r="N15" s="490">
        <v>550</v>
      </c>
      <c r="O15" s="490">
        <v>1070</v>
      </c>
      <c r="P15" s="490">
        <v>350</v>
      </c>
      <c r="Q15" s="490">
        <v>420</v>
      </c>
      <c r="R15" s="490">
        <v>460</v>
      </c>
      <c r="S15" s="490">
        <v>280</v>
      </c>
    </row>
    <row r="16" spans="1:19" s="509" customFormat="1" ht="12.75">
      <c r="A16" s="519" t="s">
        <v>109</v>
      </c>
      <c r="B16" s="520" t="s">
        <v>117</v>
      </c>
      <c r="C16" s="521">
        <v>0</v>
      </c>
      <c r="D16" s="490">
        <f>SUM(E16:S16)</f>
        <v>115</v>
      </c>
      <c r="E16" s="489">
        <v>50</v>
      </c>
      <c r="F16" s="489"/>
      <c r="G16" s="490">
        <v>15</v>
      </c>
      <c r="H16" s="491">
        <v>40</v>
      </c>
      <c r="I16" s="492"/>
      <c r="J16" s="490"/>
      <c r="K16" s="490">
        <v>5</v>
      </c>
      <c r="L16" s="490"/>
      <c r="M16" s="490"/>
      <c r="N16" s="490"/>
      <c r="O16" s="490"/>
      <c r="P16" s="490"/>
      <c r="Q16" s="490">
        <v>5</v>
      </c>
      <c r="R16" s="490"/>
      <c r="S16" s="490"/>
    </row>
    <row r="17" spans="1:19" s="509" customFormat="1" ht="12.75">
      <c r="A17" s="519" t="s">
        <v>109</v>
      </c>
      <c r="B17" s="520" t="s">
        <v>118</v>
      </c>
      <c r="C17" s="521">
        <v>0</v>
      </c>
      <c r="D17" s="490">
        <f>SUM(E17:S17)</f>
        <v>55</v>
      </c>
      <c r="E17" s="489"/>
      <c r="F17" s="489"/>
      <c r="G17" s="490"/>
      <c r="H17" s="491">
        <v>15</v>
      </c>
      <c r="I17" s="492">
        <v>10</v>
      </c>
      <c r="J17" s="490"/>
      <c r="K17" s="490">
        <v>10</v>
      </c>
      <c r="L17" s="490"/>
      <c r="M17" s="490">
        <v>5</v>
      </c>
      <c r="N17" s="490"/>
      <c r="O17" s="490"/>
      <c r="P17" s="490"/>
      <c r="Q17" s="490">
        <v>5</v>
      </c>
      <c r="R17" s="490">
        <v>10</v>
      </c>
      <c r="S17" s="490"/>
    </row>
    <row r="18" spans="1:19" s="509" customFormat="1" ht="12.75">
      <c r="A18" s="515">
        <v>2</v>
      </c>
      <c r="B18" s="517" t="s">
        <v>119</v>
      </c>
      <c r="C18" s="523"/>
      <c r="D18" s="487">
        <f>D19+D20</f>
        <v>12405</v>
      </c>
      <c r="E18" s="487">
        <f aca="true" t="shared" si="3" ref="E18:S18">E19+E20</f>
        <v>2500</v>
      </c>
      <c r="F18" s="487">
        <f t="shared" si="3"/>
        <v>1880</v>
      </c>
      <c r="G18" s="487">
        <f t="shared" si="3"/>
        <v>1860</v>
      </c>
      <c r="H18" s="487">
        <f t="shared" si="3"/>
        <v>900</v>
      </c>
      <c r="I18" s="487">
        <f t="shared" si="3"/>
        <v>1620</v>
      </c>
      <c r="J18" s="487">
        <f t="shared" si="3"/>
        <v>220</v>
      </c>
      <c r="K18" s="487">
        <f t="shared" si="3"/>
        <v>550</v>
      </c>
      <c r="L18" s="487">
        <f t="shared" si="3"/>
        <v>200</v>
      </c>
      <c r="M18" s="487">
        <f t="shared" si="3"/>
        <v>975</v>
      </c>
      <c r="N18" s="487">
        <f t="shared" si="3"/>
        <v>280</v>
      </c>
      <c r="O18" s="487">
        <f t="shared" si="3"/>
        <v>625</v>
      </c>
      <c r="P18" s="487">
        <f t="shared" si="3"/>
        <v>170</v>
      </c>
      <c r="Q18" s="487">
        <f t="shared" si="3"/>
        <v>205</v>
      </c>
      <c r="R18" s="487">
        <f t="shared" si="3"/>
        <v>280</v>
      </c>
      <c r="S18" s="487">
        <f t="shared" si="3"/>
        <v>140</v>
      </c>
    </row>
    <row r="19" spans="1:19" s="509" customFormat="1" ht="12.75">
      <c r="A19" s="519" t="s">
        <v>109</v>
      </c>
      <c r="B19" s="520" t="s">
        <v>120</v>
      </c>
      <c r="C19" s="521">
        <v>0</v>
      </c>
      <c r="D19" s="490">
        <f>SUM(E19:S19)</f>
        <v>12405</v>
      </c>
      <c r="E19" s="489">
        <v>2500</v>
      </c>
      <c r="F19" s="490">
        <v>1880</v>
      </c>
      <c r="G19" s="490">
        <v>1860</v>
      </c>
      <c r="H19" s="490">
        <v>900</v>
      </c>
      <c r="I19" s="492">
        <v>1620</v>
      </c>
      <c r="J19" s="490">
        <v>220</v>
      </c>
      <c r="K19" s="490">
        <v>550</v>
      </c>
      <c r="L19" s="490">
        <v>200</v>
      </c>
      <c r="M19" s="490">
        <v>975</v>
      </c>
      <c r="N19" s="490">
        <v>280</v>
      </c>
      <c r="O19" s="490">
        <v>625</v>
      </c>
      <c r="P19" s="490">
        <v>170</v>
      </c>
      <c r="Q19" s="490">
        <v>205</v>
      </c>
      <c r="R19" s="490">
        <v>280</v>
      </c>
      <c r="S19" s="490">
        <v>140</v>
      </c>
    </row>
    <row r="20" spans="1:19" s="509" customFormat="1" ht="12.75">
      <c r="A20" s="519" t="s">
        <v>109</v>
      </c>
      <c r="B20" s="520" t="s">
        <v>121</v>
      </c>
      <c r="C20" s="521">
        <v>0</v>
      </c>
      <c r="D20" s="490">
        <f>SUM(E20:S20)</f>
        <v>0</v>
      </c>
      <c r="E20" s="489">
        <v>0</v>
      </c>
      <c r="F20" s="490">
        <v>0</v>
      </c>
      <c r="G20" s="490">
        <v>0</v>
      </c>
      <c r="H20" s="490">
        <v>0</v>
      </c>
      <c r="I20" s="492">
        <v>0</v>
      </c>
      <c r="J20" s="490">
        <v>0</v>
      </c>
      <c r="K20" s="490">
        <v>0</v>
      </c>
      <c r="L20" s="490">
        <v>0</v>
      </c>
      <c r="M20" s="490">
        <v>0</v>
      </c>
      <c r="N20" s="490">
        <v>0</v>
      </c>
      <c r="O20" s="490">
        <v>0</v>
      </c>
      <c r="P20" s="490">
        <v>0</v>
      </c>
      <c r="Q20" s="490">
        <v>0</v>
      </c>
      <c r="R20" s="490">
        <v>0</v>
      </c>
      <c r="S20" s="490">
        <v>0</v>
      </c>
    </row>
    <row r="21" spans="1:19" s="509" customFormat="1" ht="12.75">
      <c r="A21" s="515">
        <v>3</v>
      </c>
      <c r="B21" s="517" t="s">
        <v>122</v>
      </c>
      <c r="C21" s="521">
        <v>0</v>
      </c>
      <c r="D21" s="490">
        <v>0</v>
      </c>
      <c r="E21" s="489"/>
      <c r="F21" s="490"/>
      <c r="G21" s="490"/>
      <c r="H21" s="490"/>
      <c r="I21" s="492"/>
      <c r="J21" s="490"/>
      <c r="K21" s="490"/>
      <c r="L21" s="490"/>
      <c r="M21" s="490"/>
      <c r="N21" s="490"/>
      <c r="O21" s="490"/>
      <c r="P21" s="490"/>
      <c r="Q21" s="490"/>
      <c r="R21" s="490"/>
      <c r="S21" s="490"/>
    </row>
    <row r="22" spans="1:19" s="509" customFormat="1" ht="12.75">
      <c r="A22" s="515">
        <v>4</v>
      </c>
      <c r="B22" s="517" t="s">
        <v>123</v>
      </c>
      <c r="C22" s="521">
        <v>0.5</v>
      </c>
      <c r="D22" s="487">
        <f>SUM(E22:S22)</f>
        <v>9200</v>
      </c>
      <c r="E22" s="488">
        <v>400</v>
      </c>
      <c r="F22" s="487">
        <v>100</v>
      </c>
      <c r="G22" s="487">
        <v>350</v>
      </c>
      <c r="H22" s="487">
        <v>240</v>
      </c>
      <c r="I22" s="493">
        <v>250</v>
      </c>
      <c r="J22" s="487">
        <v>150</v>
      </c>
      <c r="K22" s="487">
        <v>1300</v>
      </c>
      <c r="L22" s="487">
        <v>400</v>
      </c>
      <c r="M22" s="487">
        <v>860</v>
      </c>
      <c r="N22" s="487">
        <v>700</v>
      </c>
      <c r="O22" s="487">
        <v>550</v>
      </c>
      <c r="P22" s="487">
        <v>1000</v>
      </c>
      <c r="Q22" s="487">
        <v>500</v>
      </c>
      <c r="R22" s="487">
        <v>900</v>
      </c>
      <c r="S22" s="487">
        <v>1500</v>
      </c>
    </row>
    <row r="23" spans="1:19" s="509" customFormat="1" ht="12.75">
      <c r="A23" s="515">
        <v>5</v>
      </c>
      <c r="B23" s="517" t="s">
        <v>124</v>
      </c>
      <c r="C23" s="523"/>
      <c r="D23" s="487">
        <f>D24+D25</f>
        <v>2500</v>
      </c>
      <c r="E23" s="487">
        <f aca="true" t="shared" si="4" ref="E23:S23">E24+E25</f>
        <v>480</v>
      </c>
      <c r="F23" s="487">
        <f t="shared" si="4"/>
        <v>310</v>
      </c>
      <c r="G23" s="487">
        <f t="shared" si="4"/>
        <v>360</v>
      </c>
      <c r="H23" s="487">
        <f t="shared" si="4"/>
        <v>250</v>
      </c>
      <c r="I23" s="487">
        <f t="shared" si="4"/>
        <v>490</v>
      </c>
      <c r="J23" s="487">
        <f t="shared" si="4"/>
        <v>120</v>
      </c>
      <c r="K23" s="487">
        <f t="shared" si="4"/>
        <v>160</v>
      </c>
      <c r="L23" s="487">
        <f t="shared" si="4"/>
        <v>5</v>
      </c>
      <c r="M23" s="487">
        <f t="shared" si="4"/>
        <v>65</v>
      </c>
      <c r="N23" s="487">
        <f t="shared" si="4"/>
        <v>45</v>
      </c>
      <c r="O23" s="487">
        <f t="shared" si="4"/>
        <v>100</v>
      </c>
      <c r="P23" s="487">
        <f t="shared" si="4"/>
        <v>25</v>
      </c>
      <c r="Q23" s="487">
        <f t="shared" si="4"/>
        <v>40</v>
      </c>
      <c r="R23" s="487">
        <f t="shared" si="4"/>
        <v>45</v>
      </c>
      <c r="S23" s="487">
        <f t="shared" si="4"/>
        <v>5</v>
      </c>
    </row>
    <row r="24" spans="1:19" s="509" customFormat="1" ht="12.75">
      <c r="A24" s="519" t="s">
        <v>109</v>
      </c>
      <c r="B24" s="520" t="s">
        <v>125</v>
      </c>
      <c r="C24" s="521">
        <v>1</v>
      </c>
      <c r="D24" s="490">
        <f>SUM(E24:S24)</f>
        <v>2500</v>
      </c>
      <c r="E24" s="489">
        <v>480</v>
      </c>
      <c r="F24" s="490">
        <v>310</v>
      </c>
      <c r="G24" s="490">
        <v>360</v>
      </c>
      <c r="H24" s="490">
        <v>250</v>
      </c>
      <c r="I24" s="492">
        <v>490</v>
      </c>
      <c r="J24" s="490">
        <v>120</v>
      </c>
      <c r="K24" s="490">
        <v>160</v>
      </c>
      <c r="L24" s="490">
        <v>5</v>
      </c>
      <c r="M24" s="490">
        <v>65</v>
      </c>
      <c r="N24" s="490">
        <v>45</v>
      </c>
      <c r="O24" s="490">
        <v>100</v>
      </c>
      <c r="P24" s="490">
        <v>25</v>
      </c>
      <c r="Q24" s="490">
        <v>40</v>
      </c>
      <c r="R24" s="490">
        <v>45</v>
      </c>
      <c r="S24" s="490">
        <v>5</v>
      </c>
    </row>
    <row r="25" spans="1:19" s="509" customFormat="1" ht="12.75">
      <c r="A25" s="519" t="s">
        <v>109</v>
      </c>
      <c r="B25" s="520" t="s">
        <v>126</v>
      </c>
      <c r="C25" s="521"/>
      <c r="D25" s="490">
        <f>SUM(E25:S25)</f>
        <v>0</v>
      </c>
      <c r="E25" s="489"/>
      <c r="F25" s="490"/>
      <c r="G25" s="490"/>
      <c r="H25" s="490"/>
      <c r="I25" s="492"/>
      <c r="J25" s="490"/>
      <c r="K25" s="490"/>
      <c r="L25" s="490"/>
      <c r="M25" s="490"/>
      <c r="N25" s="490"/>
      <c r="O25" s="490"/>
      <c r="P25" s="490"/>
      <c r="Q25" s="490"/>
      <c r="R25" s="490"/>
      <c r="S25" s="490"/>
    </row>
    <row r="26" spans="1:19" s="509" customFormat="1" ht="12.75">
      <c r="A26" s="515">
        <v>6</v>
      </c>
      <c r="B26" s="524" t="s">
        <v>210</v>
      </c>
      <c r="C26" s="521"/>
      <c r="D26" s="490">
        <v>0</v>
      </c>
      <c r="E26" s="488"/>
      <c r="F26" s="487"/>
      <c r="G26" s="487"/>
      <c r="H26" s="487"/>
      <c r="I26" s="493"/>
      <c r="J26" s="487"/>
      <c r="K26" s="487"/>
      <c r="L26" s="487"/>
      <c r="M26" s="487"/>
      <c r="N26" s="487"/>
      <c r="O26" s="487"/>
      <c r="P26" s="487"/>
      <c r="Q26" s="487"/>
      <c r="R26" s="487"/>
      <c r="S26" s="487"/>
    </row>
    <row r="27" spans="1:19" s="509" customFormat="1" ht="12.75">
      <c r="A27" s="515">
        <v>7</v>
      </c>
      <c r="B27" s="517" t="s">
        <v>127</v>
      </c>
      <c r="C27" s="525"/>
      <c r="D27" s="487">
        <f>D28+D29</f>
        <v>2795</v>
      </c>
      <c r="E27" s="487">
        <f aca="true" t="shared" si="5" ref="E27:S27">E28+E29</f>
        <v>448</v>
      </c>
      <c r="F27" s="487">
        <f t="shared" si="5"/>
        <v>308</v>
      </c>
      <c r="G27" s="487">
        <f t="shared" si="5"/>
        <v>250</v>
      </c>
      <c r="H27" s="487">
        <f t="shared" si="5"/>
        <v>213</v>
      </c>
      <c r="I27" s="487">
        <f t="shared" si="5"/>
        <v>315</v>
      </c>
      <c r="J27" s="487">
        <f t="shared" si="5"/>
        <v>74</v>
      </c>
      <c r="K27" s="487">
        <f t="shared" si="5"/>
        <v>155</v>
      </c>
      <c r="L27" s="487">
        <f t="shared" si="5"/>
        <v>53</v>
      </c>
      <c r="M27" s="487">
        <f t="shared" si="5"/>
        <v>159</v>
      </c>
      <c r="N27" s="487">
        <f t="shared" si="5"/>
        <v>148</v>
      </c>
      <c r="O27" s="487">
        <f t="shared" si="5"/>
        <v>192</v>
      </c>
      <c r="P27" s="487">
        <f t="shared" si="5"/>
        <v>107</v>
      </c>
      <c r="Q27" s="487">
        <f t="shared" si="5"/>
        <v>65</v>
      </c>
      <c r="R27" s="487">
        <f t="shared" si="5"/>
        <v>180</v>
      </c>
      <c r="S27" s="487">
        <f t="shared" si="5"/>
        <v>128</v>
      </c>
    </row>
    <row r="28" spans="1:19" s="509" customFormat="1" ht="12.75">
      <c r="A28" s="515"/>
      <c r="B28" s="520" t="s">
        <v>127</v>
      </c>
      <c r="C28" s="521">
        <v>1</v>
      </c>
      <c r="D28" s="490">
        <f>SUM(E28:S28)</f>
        <v>1405</v>
      </c>
      <c r="E28" s="489">
        <v>150</v>
      </c>
      <c r="F28" s="489">
        <v>145</v>
      </c>
      <c r="G28" s="489">
        <v>100</v>
      </c>
      <c r="H28" s="489">
        <v>100</v>
      </c>
      <c r="I28" s="489">
        <v>105</v>
      </c>
      <c r="J28" s="489">
        <v>45</v>
      </c>
      <c r="K28" s="489">
        <v>90</v>
      </c>
      <c r="L28" s="489">
        <v>30</v>
      </c>
      <c r="M28" s="489">
        <v>75</v>
      </c>
      <c r="N28" s="489">
        <v>110</v>
      </c>
      <c r="O28" s="489">
        <v>110</v>
      </c>
      <c r="P28" s="489">
        <v>90</v>
      </c>
      <c r="Q28" s="489">
        <v>40</v>
      </c>
      <c r="R28" s="489">
        <v>120</v>
      </c>
      <c r="S28" s="489">
        <v>95</v>
      </c>
    </row>
    <row r="29" spans="1:19" s="509" customFormat="1" ht="12.75">
      <c r="A29" s="526" t="s">
        <v>109</v>
      </c>
      <c r="B29" s="520" t="s">
        <v>128</v>
      </c>
      <c r="C29" s="521">
        <v>1</v>
      </c>
      <c r="D29" s="490">
        <f>SUM(E29:S29)</f>
        <v>1390</v>
      </c>
      <c r="E29" s="489">
        <v>298</v>
      </c>
      <c r="F29" s="489">
        <v>163</v>
      </c>
      <c r="G29" s="489">
        <v>150</v>
      </c>
      <c r="H29" s="489">
        <v>113</v>
      </c>
      <c r="I29" s="489">
        <v>210</v>
      </c>
      <c r="J29" s="489">
        <v>29</v>
      </c>
      <c r="K29" s="489">
        <v>65</v>
      </c>
      <c r="L29" s="489">
        <v>23</v>
      </c>
      <c r="M29" s="489">
        <v>84</v>
      </c>
      <c r="N29" s="489">
        <v>38</v>
      </c>
      <c r="O29" s="489">
        <v>82</v>
      </c>
      <c r="P29" s="489">
        <v>17</v>
      </c>
      <c r="Q29" s="489">
        <v>25</v>
      </c>
      <c r="R29" s="489">
        <v>60</v>
      </c>
      <c r="S29" s="489">
        <v>33</v>
      </c>
    </row>
    <row r="30" spans="1:19" s="509" customFormat="1" ht="12.75">
      <c r="A30" s="515">
        <v>8</v>
      </c>
      <c r="B30" s="517" t="s">
        <v>129</v>
      </c>
      <c r="C30" s="523"/>
      <c r="D30" s="487">
        <f>SUM(D31:D33)</f>
        <v>805</v>
      </c>
      <c r="E30" s="487">
        <f aca="true" t="shared" si="6" ref="E30:S30">SUM(E31:E33)</f>
        <v>80</v>
      </c>
      <c r="F30" s="487">
        <f t="shared" si="6"/>
        <v>50</v>
      </c>
      <c r="G30" s="487">
        <f t="shared" si="6"/>
        <v>25</v>
      </c>
      <c r="H30" s="487">
        <f t="shared" si="6"/>
        <v>30</v>
      </c>
      <c r="I30" s="487">
        <f t="shared" si="6"/>
        <v>55</v>
      </c>
      <c r="J30" s="487">
        <f t="shared" si="6"/>
        <v>15</v>
      </c>
      <c r="K30" s="487">
        <f t="shared" si="6"/>
        <v>110</v>
      </c>
      <c r="L30" s="487">
        <f t="shared" si="6"/>
        <v>25</v>
      </c>
      <c r="M30" s="487">
        <f t="shared" si="6"/>
        <v>80</v>
      </c>
      <c r="N30" s="487">
        <f t="shared" si="6"/>
        <v>55</v>
      </c>
      <c r="O30" s="487">
        <f t="shared" si="6"/>
        <v>55</v>
      </c>
      <c r="P30" s="487">
        <f t="shared" si="6"/>
        <v>65</v>
      </c>
      <c r="Q30" s="487">
        <f t="shared" si="6"/>
        <v>50</v>
      </c>
      <c r="R30" s="487">
        <f t="shared" si="6"/>
        <v>50</v>
      </c>
      <c r="S30" s="487">
        <f t="shared" si="6"/>
        <v>60</v>
      </c>
    </row>
    <row r="31" spans="1:19" s="509" customFormat="1" ht="12.75">
      <c r="A31" s="519" t="s">
        <v>109</v>
      </c>
      <c r="B31" s="527" t="s">
        <v>177</v>
      </c>
      <c r="C31" s="521">
        <v>1</v>
      </c>
      <c r="D31" s="490">
        <f>SUM(E31:S31)</f>
        <v>805</v>
      </c>
      <c r="E31" s="489">
        <v>80</v>
      </c>
      <c r="F31" s="490">
        <v>50</v>
      </c>
      <c r="G31" s="490">
        <v>25</v>
      </c>
      <c r="H31" s="489">
        <v>30</v>
      </c>
      <c r="I31" s="492">
        <v>55</v>
      </c>
      <c r="J31" s="489">
        <v>15</v>
      </c>
      <c r="K31" s="490">
        <v>110</v>
      </c>
      <c r="L31" s="490">
        <v>25</v>
      </c>
      <c r="M31" s="490">
        <v>80</v>
      </c>
      <c r="N31" s="490">
        <v>55</v>
      </c>
      <c r="O31" s="490">
        <v>55</v>
      </c>
      <c r="P31" s="490">
        <v>65</v>
      </c>
      <c r="Q31" s="490">
        <v>50</v>
      </c>
      <c r="R31" s="490">
        <v>50</v>
      </c>
      <c r="S31" s="490">
        <v>60</v>
      </c>
    </row>
    <row r="32" spans="1:19" s="509" customFormat="1" ht="12.75">
      <c r="A32" s="519" t="s">
        <v>109</v>
      </c>
      <c r="B32" s="520" t="s">
        <v>130</v>
      </c>
      <c r="C32" s="521">
        <v>1</v>
      </c>
      <c r="D32" s="490">
        <f>SUM(E32:S32)</f>
        <v>0</v>
      </c>
      <c r="E32" s="489"/>
      <c r="F32" s="490"/>
      <c r="G32" s="490"/>
      <c r="H32" s="490"/>
      <c r="I32" s="492"/>
      <c r="J32" s="490"/>
      <c r="K32" s="490"/>
      <c r="L32" s="490"/>
      <c r="M32" s="490"/>
      <c r="N32" s="490"/>
      <c r="O32" s="490"/>
      <c r="P32" s="490"/>
      <c r="Q32" s="490"/>
      <c r="R32" s="490"/>
      <c r="S32" s="490"/>
    </row>
    <row r="33" spans="1:19" s="509" customFormat="1" ht="12.75">
      <c r="A33" s="519"/>
      <c r="B33" s="520" t="s">
        <v>178</v>
      </c>
      <c r="C33" s="521">
        <v>1</v>
      </c>
      <c r="D33" s="490">
        <f>SUM(E33:S33)</f>
        <v>0</v>
      </c>
      <c r="E33" s="489"/>
      <c r="F33" s="490"/>
      <c r="G33" s="490"/>
      <c r="H33" s="490"/>
      <c r="I33" s="492"/>
      <c r="J33" s="490"/>
      <c r="K33" s="490"/>
      <c r="L33" s="490"/>
      <c r="M33" s="490"/>
      <c r="N33" s="490"/>
      <c r="O33" s="490"/>
      <c r="P33" s="490"/>
      <c r="Q33" s="490"/>
      <c r="R33" s="490"/>
      <c r="S33" s="490"/>
    </row>
    <row r="34" spans="1:19" s="509" customFormat="1" ht="12.75">
      <c r="A34" s="515" t="s">
        <v>296</v>
      </c>
      <c r="B34" s="517" t="s">
        <v>179</v>
      </c>
      <c r="C34" s="523"/>
      <c r="D34" s="493">
        <f aca="true" t="shared" si="7" ref="D34:D39">SUM(E34:S34)</f>
        <v>8319</v>
      </c>
      <c r="E34" s="528">
        <f>E35</f>
        <v>0</v>
      </c>
      <c r="F34" s="528">
        <f aca="true" t="shared" si="8" ref="F34:S34">F35</f>
        <v>0</v>
      </c>
      <c r="G34" s="528">
        <f t="shared" si="8"/>
        <v>0</v>
      </c>
      <c r="H34" s="528">
        <f t="shared" si="8"/>
        <v>0</v>
      </c>
      <c r="I34" s="528">
        <f t="shared" si="8"/>
        <v>0</v>
      </c>
      <c r="J34" s="528">
        <f t="shared" si="8"/>
        <v>0</v>
      </c>
      <c r="K34" s="528">
        <f>K35</f>
        <v>0</v>
      </c>
      <c r="L34" s="528">
        <f>L35</f>
        <v>0</v>
      </c>
      <c r="M34" s="528">
        <f>M35</f>
        <v>0</v>
      </c>
      <c r="N34" s="528">
        <f>N35</f>
        <v>0</v>
      </c>
      <c r="O34" s="528">
        <f>O35</f>
        <v>0</v>
      </c>
      <c r="P34" s="528">
        <f t="shared" si="8"/>
        <v>2152</v>
      </c>
      <c r="Q34" s="528">
        <f t="shared" si="8"/>
        <v>620</v>
      </c>
      <c r="R34" s="528">
        <f t="shared" si="8"/>
        <v>1431</v>
      </c>
      <c r="S34" s="528">
        <f t="shared" si="8"/>
        <v>4116</v>
      </c>
    </row>
    <row r="35" spans="1:19" s="509" customFormat="1" ht="15" customHeight="1">
      <c r="A35" s="519"/>
      <c r="B35" s="527" t="s">
        <v>131</v>
      </c>
      <c r="C35" s="521"/>
      <c r="D35" s="492">
        <f t="shared" si="7"/>
        <v>8319</v>
      </c>
      <c r="E35" s="492"/>
      <c r="F35" s="492"/>
      <c r="G35" s="492"/>
      <c r="H35" s="492"/>
      <c r="I35" s="492"/>
      <c r="J35" s="492"/>
      <c r="K35" s="492"/>
      <c r="L35" s="492"/>
      <c r="M35" s="492"/>
      <c r="N35" s="492"/>
      <c r="O35" s="492"/>
      <c r="P35" s="492">
        <f>PL07!Q21</f>
        <v>2152</v>
      </c>
      <c r="Q35" s="492">
        <f>PL07!R21</f>
        <v>620</v>
      </c>
      <c r="R35" s="492">
        <f>PL07!S21</f>
        <v>1431</v>
      </c>
      <c r="S35" s="492">
        <f>PL07!T21</f>
        <v>4116</v>
      </c>
    </row>
    <row r="36" spans="1:19" s="509" customFormat="1" ht="20.25" customHeight="1">
      <c r="A36" s="529" t="s">
        <v>132</v>
      </c>
      <c r="B36" s="530" t="s">
        <v>133</v>
      </c>
      <c r="C36" s="531"/>
      <c r="D36" s="493">
        <f t="shared" si="7"/>
        <v>0</v>
      </c>
      <c r="E36" s="532"/>
      <c r="F36" s="532"/>
      <c r="G36" s="532"/>
      <c r="H36" s="532"/>
      <c r="I36" s="532"/>
      <c r="J36" s="532"/>
      <c r="K36" s="532"/>
      <c r="L36" s="532"/>
      <c r="M36" s="532"/>
      <c r="N36" s="532"/>
      <c r="O36" s="532"/>
      <c r="P36" s="532"/>
      <c r="Q36" s="532"/>
      <c r="R36" s="532"/>
      <c r="S36" s="532"/>
    </row>
    <row r="37" spans="1:19" s="509" customFormat="1" ht="12.75">
      <c r="A37" s="515" t="s">
        <v>295</v>
      </c>
      <c r="B37" s="517" t="s">
        <v>676</v>
      </c>
      <c r="C37" s="523"/>
      <c r="D37" s="493">
        <f t="shared" si="7"/>
        <v>113983</v>
      </c>
      <c r="E37" s="528">
        <f>SUM(E38:E39)</f>
        <v>8159</v>
      </c>
      <c r="F37" s="528">
        <f aca="true" t="shared" si="9" ref="F37:S37">SUM(F38:F39)</f>
        <v>7300</v>
      </c>
      <c r="G37" s="528">
        <f t="shared" si="9"/>
        <v>7379</v>
      </c>
      <c r="H37" s="528">
        <f t="shared" si="9"/>
        <v>7422</v>
      </c>
      <c r="I37" s="528">
        <f t="shared" si="9"/>
        <v>7428</v>
      </c>
      <c r="J37" s="528">
        <f t="shared" si="9"/>
        <v>6592</v>
      </c>
      <c r="K37" s="528">
        <f>SUM(K38:K39)</f>
        <v>8328</v>
      </c>
      <c r="L37" s="528">
        <f>SUM(L38:L39)</f>
        <v>7111</v>
      </c>
      <c r="M37" s="528">
        <f>SUM(M38:M39)</f>
        <v>7831</v>
      </c>
      <c r="N37" s="528">
        <f>SUM(N38:N39)</f>
        <v>7657</v>
      </c>
      <c r="O37" s="528">
        <f>SUM(O38:O39)</f>
        <v>7367</v>
      </c>
      <c r="P37" s="528">
        <f t="shared" si="9"/>
        <v>8284</v>
      </c>
      <c r="Q37" s="528">
        <f t="shared" si="9"/>
        <v>7094</v>
      </c>
      <c r="R37" s="528">
        <f t="shared" si="9"/>
        <v>8039</v>
      </c>
      <c r="S37" s="528">
        <f t="shared" si="9"/>
        <v>7992</v>
      </c>
    </row>
    <row r="38" spans="1:19" s="509" customFormat="1" ht="13.5" customHeight="1">
      <c r="A38" s="519">
        <v>1</v>
      </c>
      <c r="B38" s="527" t="s">
        <v>134</v>
      </c>
      <c r="C38" s="533"/>
      <c r="D38" s="492">
        <f>SUM(E38:S38)</f>
        <v>10700</v>
      </c>
      <c r="E38" s="492">
        <f>(E22*50%)+E23+E26+E29+E30+E28</f>
        <v>1208</v>
      </c>
      <c r="F38" s="492">
        <f aca="true" t="shared" si="10" ref="F38:S38">(F22*50%)+F23+F26+F29+F30+F28</f>
        <v>718</v>
      </c>
      <c r="G38" s="492">
        <f t="shared" si="10"/>
        <v>810</v>
      </c>
      <c r="H38" s="492">
        <f t="shared" si="10"/>
        <v>613</v>
      </c>
      <c r="I38" s="492">
        <f t="shared" si="10"/>
        <v>985</v>
      </c>
      <c r="J38" s="492">
        <f t="shared" si="10"/>
        <v>284</v>
      </c>
      <c r="K38" s="492">
        <f t="shared" si="10"/>
        <v>1075</v>
      </c>
      <c r="L38" s="492">
        <f t="shared" si="10"/>
        <v>283</v>
      </c>
      <c r="M38" s="492">
        <f t="shared" si="10"/>
        <v>734</v>
      </c>
      <c r="N38" s="492">
        <f t="shared" si="10"/>
        <v>598</v>
      </c>
      <c r="O38" s="492">
        <f t="shared" si="10"/>
        <v>622</v>
      </c>
      <c r="P38" s="492">
        <f t="shared" si="10"/>
        <v>697</v>
      </c>
      <c r="Q38" s="492">
        <f t="shared" si="10"/>
        <v>405</v>
      </c>
      <c r="R38" s="492">
        <f t="shared" si="10"/>
        <v>725</v>
      </c>
      <c r="S38" s="492">
        <f t="shared" si="10"/>
        <v>943</v>
      </c>
    </row>
    <row r="39" spans="1:19" s="509" customFormat="1" ht="15" customHeight="1">
      <c r="A39" s="519">
        <v>2</v>
      </c>
      <c r="B39" s="527" t="s">
        <v>615</v>
      </c>
      <c r="C39" s="519"/>
      <c r="D39" s="492">
        <f t="shared" si="7"/>
        <v>103283</v>
      </c>
      <c r="E39" s="492">
        <f>E43-E38</f>
        <v>6951</v>
      </c>
      <c r="F39" s="492">
        <f aca="true" t="shared" si="11" ref="F39:S39">F43-F38</f>
        <v>6582</v>
      </c>
      <c r="G39" s="492">
        <f t="shared" si="11"/>
        <v>6569</v>
      </c>
      <c r="H39" s="492">
        <f t="shared" si="11"/>
        <v>6809</v>
      </c>
      <c r="I39" s="492">
        <f t="shared" si="11"/>
        <v>6443</v>
      </c>
      <c r="J39" s="492">
        <f t="shared" si="11"/>
        <v>6308</v>
      </c>
      <c r="K39" s="492">
        <f t="shared" si="11"/>
        <v>7253</v>
      </c>
      <c r="L39" s="492">
        <f t="shared" si="11"/>
        <v>6828</v>
      </c>
      <c r="M39" s="492">
        <f t="shared" si="11"/>
        <v>7097</v>
      </c>
      <c r="N39" s="492">
        <f t="shared" si="11"/>
        <v>7059</v>
      </c>
      <c r="O39" s="492">
        <f t="shared" si="11"/>
        <v>6745</v>
      </c>
      <c r="P39" s="492">
        <f t="shared" si="11"/>
        <v>7587</v>
      </c>
      <c r="Q39" s="492">
        <f t="shared" si="11"/>
        <v>6689</v>
      </c>
      <c r="R39" s="492">
        <f t="shared" si="11"/>
        <v>7314</v>
      </c>
      <c r="S39" s="492">
        <f t="shared" si="11"/>
        <v>7049</v>
      </c>
    </row>
    <row r="40" spans="1:19" s="509" customFormat="1" ht="12.75" hidden="1">
      <c r="A40" s="515"/>
      <c r="B40" s="517"/>
      <c r="C40" s="518"/>
      <c r="D40" s="493"/>
      <c r="E40" s="528"/>
      <c r="F40" s="528"/>
      <c r="G40" s="528"/>
      <c r="H40" s="528"/>
      <c r="I40" s="528"/>
      <c r="J40" s="528"/>
      <c r="K40" s="528"/>
      <c r="L40" s="528"/>
      <c r="M40" s="528"/>
      <c r="N40" s="528"/>
      <c r="O40" s="528"/>
      <c r="P40" s="528"/>
      <c r="Q40" s="528"/>
      <c r="R40" s="528"/>
      <c r="S40" s="528"/>
    </row>
    <row r="41" spans="1:19" s="509" customFormat="1" ht="12.75">
      <c r="A41" s="515" t="s">
        <v>297</v>
      </c>
      <c r="B41" s="517" t="s">
        <v>135</v>
      </c>
      <c r="C41" s="515"/>
      <c r="D41" s="493">
        <f>D42</f>
        <v>113983</v>
      </c>
      <c r="E41" s="493">
        <f aca="true" t="shared" si="12" ref="E41:S41">E42</f>
        <v>8159</v>
      </c>
      <c r="F41" s="493">
        <f t="shared" si="12"/>
        <v>7300</v>
      </c>
      <c r="G41" s="493">
        <f t="shared" si="12"/>
        <v>7379</v>
      </c>
      <c r="H41" s="493">
        <f t="shared" si="12"/>
        <v>7422</v>
      </c>
      <c r="I41" s="493">
        <f t="shared" si="12"/>
        <v>7428</v>
      </c>
      <c r="J41" s="493">
        <f t="shared" si="12"/>
        <v>6592</v>
      </c>
      <c r="K41" s="493">
        <f t="shared" si="12"/>
        <v>8328</v>
      </c>
      <c r="L41" s="493">
        <f t="shared" si="12"/>
        <v>7111</v>
      </c>
      <c r="M41" s="493">
        <f t="shared" si="12"/>
        <v>7831</v>
      </c>
      <c r="N41" s="493">
        <f t="shared" si="12"/>
        <v>7657</v>
      </c>
      <c r="O41" s="493">
        <f t="shared" si="12"/>
        <v>7367</v>
      </c>
      <c r="P41" s="493">
        <f t="shared" si="12"/>
        <v>8284</v>
      </c>
      <c r="Q41" s="493">
        <f t="shared" si="12"/>
        <v>7094</v>
      </c>
      <c r="R41" s="493">
        <f t="shared" si="12"/>
        <v>8039</v>
      </c>
      <c r="S41" s="493">
        <f t="shared" si="12"/>
        <v>7992</v>
      </c>
    </row>
    <row r="42" spans="1:19" s="509" customFormat="1" ht="12.75">
      <c r="A42" s="534" t="s">
        <v>296</v>
      </c>
      <c r="B42" s="535" t="s">
        <v>111</v>
      </c>
      <c r="C42" s="534"/>
      <c r="D42" s="493">
        <f>D43</f>
        <v>113983</v>
      </c>
      <c r="E42" s="493">
        <f>E43</f>
        <v>8159</v>
      </c>
      <c r="F42" s="493">
        <f aca="true" t="shared" si="13" ref="F42:S42">F43</f>
        <v>7300</v>
      </c>
      <c r="G42" s="493">
        <f t="shared" si="13"/>
        <v>7379</v>
      </c>
      <c r="H42" s="493">
        <f t="shared" si="13"/>
        <v>7422</v>
      </c>
      <c r="I42" s="493">
        <f t="shared" si="13"/>
        <v>7428</v>
      </c>
      <c r="J42" s="493">
        <f t="shared" si="13"/>
        <v>6592</v>
      </c>
      <c r="K42" s="493">
        <f t="shared" si="13"/>
        <v>8328</v>
      </c>
      <c r="L42" s="493">
        <f t="shared" si="13"/>
        <v>7111</v>
      </c>
      <c r="M42" s="493">
        <f t="shared" si="13"/>
        <v>7831</v>
      </c>
      <c r="N42" s="493">
        <f t="shared" si="13"/>
        <v>7657</v>
      </c>
      <c r="O42" s="493">
        <f t="shared" si="13"/>
        <v>7367</v>
      </c>
      <c r="P42" s="493">
        <f t="shared" si="13"/>
        <v>8284</v>
      </c>
      <c r="Q42" s="493">
        <f t="shared" si="13"/>
        <v>7094</v>
      </c>
      <c r="R42" s="493">
        <f t="shared" si="13"/>
        <v>8039</v>
      </c>
      <c r="S42" s="493">
        <f t="shared" si="13"/>
        <v>7992</v>
      </c>
    </row>
    <row r="43" spans="1:19" s="509" customFormat="1" ht="12.75">
      <c r="A43" s="536"/>
      <c r="B43" s="537" t="s">
        <v>112</v>
      </c>
      <c r="C43" s="534"/>
      <c r="D43" s="492">
        <f>SUM(E43:S43)</f>
        <v>113983</v>
      </c>
      <c r="E43" s="538">
        <v>8159</v>
      </c>
      <c r="F43" s="538">
        <v>7300</v>
      </c>
      <c r="G43" s="538">
        <v>7379</v>
      </c>
      <c r="H43" s="538">
        <v>7422</v>
      </c>
      <c r="I43" s="538">
        <v>7428</v>
      </c>
      <c r="J43" s="538">
        <v>6592</v>
      </c>
      <c r="K43" s="538">
        <v>8328</v>
      </c>
      <c r="L43" s="538">
        <v>7111</v>
      </c>
      <c r="M43" s="538">
        <v>7831</v>
      </c>
      <c r="N43" s="538">
        <v>7657</v>
      </c>
      <c r="O43" s="538">
        <v>7367</v>
      </c>
      <c r="P43" s="538">
        <v>8284</v>
      </c>
      <c r="Q43" s="538">
        <v>7094</v>
      </c>
      <c r="R43" s="538">
        <v>8039</v>
      </c>
      <c r="S43" s="538">
        <v>7992</v>
      </c>
    </row>
    <row r="44" spans="1:19" s="509" customFormat="1" ht="18.75" customHeight="1">
      <c r="A44" s="529" t="s">
        <v>364</v>
      </c>
      <c r="B44" s="530" t="s">
        <v>113</v>
      </c>
      <c r="C44" s="534"/>
      <c r="D44" s="539"/>
      <c r="E44" s="539"/>
      <c r="F44" s="539"/>
      <c r="G44" s="539"/>
      <c r="H44" s="539"/>
      <c r="I44" s="539"/>
      <c r="J44" s="539"/>
      <c r="K44" s="539"/>
      <c r="L44" s="539"/>
      <c r="M44" s="539"/>
      <c r="N44" s="539"/>
      <c r="O44" s="539"/>
      <c r="P44" s="539"/>
      <c r="Q44" s="539"/>
      <c r="R44" s="539"/>
      <c r="S44" s="539"/>
    </row>
    <row r="45" spans="1:19" s="509" customFormat="1" ht="12.75">
      <c r="A45" s="536">
        <v>1</v>
      </c>
      <c r="B45" s="537" t="s">
        <v>114</v>
      </c>
      <c r="C45" s="534"/>
      <c r="D45" s="492">
        <f>SUM(E45:S45)</f>
        <v>8319</v>
      </c>
      <c r="E45" s="538"/>
      <c r="F45" s="538"/>
      <c r="G45" s="538"/>
      <c r="H45" s="538"/>
      <c r="I45" s="538"/>
      <c r="J45" s="538"/>
      <c r="K45" s="538"/>
      <c r="L45" s="538">
        <f>L35</f>
        <v>0</v>
      </c>
      <c r="M45" s="538">
        <v>0</v>
      </c>
      <c r="N45" s="538">
        <f>N35</f>
        <v>0</v>
      </c>
      <c r="O45" s="538">
        <f>O35</f>
        <v>0</v>
      </c>
      <c r="P45" s="538">
        <f>PL07!Q21</f>
        <v>2152</v>
      </c>
      <c r="Q45" s="538">
        <f>PL07!R21</f>
        <v>620</v>
      </c>
      <c r="R45" s="538">
        <f>PL07!S21</f>
        <v>1431</v>
      </c>
      <c r="S45" s="538">
        <f>PL07!T21</f>
        <v>4116</v>
      </c>
    </row>
    <row r="46" spans="1:19" s="509" customFormat="1" ht="12.75">
      <c r="A46" s="540">
        <v>2</v>
      </c>
      <c r="B46" s="541" t="s">
        <v>115</v>
      </c>
      <c r="C46" s="542"/>
      <c r="D46" s="543">
        <f>SUM(E46:S46)</f>
        <v>8319</v>
      </c>
      <c r="E46" s="543"/>
      <c r="F46" s="543"/>
      <c r="G46" s="543"/>
      <c r="H46" s="543"/>
      <c r="I46" s="543"/>
      <c r="J46" s="543"/>
      <c r="K46" s="543"/>
      <c r="L46" s="543">
        <f>L45</f>
        <v>0</v>
      </c>
      <c r="M46" s="543">
        <v>0</v>
      </c>
      <c r="N46" s="543">
        <f aca="true" t="shared" si="14" ref="N46:S46">N45</f>
        <v>0</v>
      </c>
      <c r="O46" s="543">
        <f t="shared" si="14"/>
        <v>0</v>
      </c>
      <c r="P46" s="543">
        <f t="shared" si="14"/>
        <v>2152</v>
      </c>
      <c r="Q46" s="543">
        <f t="shared" si="14"/>
        <v>620</v>
      </c>
      <c r="R46" s="543">
        <f t="shared" si="14"/>
        <v>1431</v>
      </c>
      <c r="S46" s="543">
        <f t="shared" si="14"/>
        <v>4116</v>
      </c>
    </row>
    <row r="47" spans="1:19" s="509" customFormat="1" ht="12.75">
      <c r="A47" s="544"/>
      <c r="C47" s="544"/>
      <c r="D47" s="545"/>
      <c r="E47" s="545"/>
      <c r="F47" s="545"/>
      <c r="G47" s="545"/>
      <c r="H47" s="545"/>
      <c r="I47" s="545"/>
      <c r="J47" s="545"/>
      <c r="K47" s="545"/>
      <c r="L47" s="545"/>
      <c r="M47" s="545"/>
      <c r="N47" s="545"/>
      <c r="O47" s="545"/>
      <c r="P47" s="545"/>
      <c r="Q47" s="545"/>
      <c r="R47" s="545"/>
      <c r="S47" s="545"/>
    </row>
    <row r="48" spans="1:19" s="509" customFormat="1" ht="12.75">
      <c r="A48" s="544"/>
      <c r="C48" s="544"/>
      <c r="D48" s="546"/>
      <c r="E48" s="545"/>
      <c r="F48" s="545"/>
      <c r="G48" s="545"/>
      <c r="H48" s="545"/>
      <c r="I48" s="545"/>
      <c r="J48" s="545"/>
      <c r="K48" s="545"/>
      <c r="L48" s="545"/>
      <c r="M48" s="545"/>
      <c r="N48" s="545"/>
      <c r="O48" s="545"/>
      <c r="P48" s="545"/>
      <c r="Q48" s="545"/>
      <c r="R48" s="545"/>
      <c r="S48" s="545"/>
    </row>
  </sheetData>
  <sheetProtection/>
  <mergeCells count="9">
    <mergeCell ref="Q8:S8"/>
    <mergeCell ref="H1:Q1"/>
    <mergeCell ref="B5:S5"/>
    <mergeCell ref="B4:S4"/>
    <mergeCell ref="B6:S6"/>
    <mergeCell ref="A9:A10"/>
    <mergeCell ref="B9:B10"/>
    <mergeCell ref="C9:C10"/>
    <mergeCell ref="D9:S9"/>
  </mergeCells>
  <printOptions/>
  <pageMargins left="0.6" right="0.32" top="0.3" bottom="0.3" header="0.5" footer="0.37"/>
  <pageSetup horizontalDpi="600" verticalDpi="600" orientation="landscape" paperSize="9" scale="80" r:id="rId2"/>
  <headerFooter alignWithMargins="0">
    <oddFooter>&amp;CPage &amp;P</oddFooter>
  </headerFooter>
  <drawing r:id="rId1"/>
</worksheet>
</file>

<file path=xl/worksheets/sheet9.xml><?xml version="1.0" encoding="utf-8"?>
<worksheet xmlns="http://schemas.openxmlformats.org/spreadsheetml/2006/main" xmlns:r="http://schemas.openxmlformats.org/officeDocument/2006/relationships">
  <sheetPr>
    <tabColor rgb="FF0070C0"/>
  </sheetPr>
  <dimension ref="A1:BA40"/>
  <sheetViews>
    <sheetView zoomScale="110" zoomScaleNormal="110" zoomScalePageLayoutView="0" workbookViewId="0" topLeftCell="A3">
      <selection activeCell="A7" sqref="A7:T7"/>
    </sheetView>
  </sheetViews>
  <sheetFormatPr defaultColWidth="11.28125" defaultRowHeight="12.75"/>
  <cols>
    <col min="1" max="1" width="3.28125" style="593" customWidth="1"/>
    <col min="2" max="2" width="27.28125" style="593" customWidth="1"/>
    <col min="3" max="3" width="8.28125" style="648" hidden="1" customWidth="1"/>
    <col min="4" max="4" width="7.8515625" style="649" customWidth="1"/>
    <col min="5" max="5" width="8.8515625" style="3" customWidth="1"/>
    <col min="6" max="6" width="7.421875" style="593" customWidth="1"/>
    <col min="7" max="8" width="7.8515625" style="593" customWidth="1"/>
    <col min="9" max="9" width="8.7109375" style="593" customWidth="1"/>
    <col min="10" max="10" width="8.421875" style="593" customWidth="1"/>
    <col min="11" max="11" width="7.7109375" style="593" customWidth="1"/>
    <col min="12" max="12" width="9.140625" style="593" customWidth="1"/>
    <col min="13" max="13" width="8.57421875" style="650" customWidth="1"/>
    <col min="14" max="14" width="8.140625" style="593" customWidth="1"/>
    <col min="15" max="16" width="8.7109375" style="593" customWidth="1"/>
    <col min="17" max="17" width="8.57421875" style="593" customWidth="1"/>
    <col min="18" max="19" width="8.7109375" style="593" customWidth="1"/>
    <col min="20" max="20" width="8.421875" style="593" customWidth="1"/>
    <col min="21" max="21" width="8.57421875" style="593" hidden="1" customWidth="1"/>
    <col min="22" max="22" width="10.7109375" style="593" hidden="1" customWidth="1"/>
    <col min="23" max="23" width="8.28125" style="593" hidden="1" customWidth="1"/>
    <col min="24" max="24" width="9.00390625" style="593" hidden="1" customWidth="1"/>
    <col min="25" max="26" width="8.00390625" style="593" hidden="1" customWidth="1"/>
    <col min="27" max="27" width="10.00390625" style="593" hidden="1" customWidth="1"/>
    <col min="28" max="28" width="9.421875" style="593" hidden="1" customWidth="1"/>
    <col min="29" max="30" width="8.421875" style="593" hidden="1" customWidth="1"/>
    <col min="31" max="31" width="0" style="593" hidden="1" customWidth="1"/>
    <col min="32" max="32" width="6.28125" style="593" hidden="1" customWidth="1"/>
    <col min="33" max="33" width="6.8515625" style="593" hidden="1" customWidth="1"/>
    <col min="34" max="34" width="6.28125" style="593" hidden="1" customWidth="1"/>
    <col min="35" max="35" width="6.7109375" style="593" hidden="1" customWidth="1"/>
    <col min="36" max="36" width="6.28125" style="593" customWidth="1"/>
    <col min="37" max="37" width="11.8515625" style="593" customWidth="1"/>
    <col min="38" max="38" width="16.8515625" style="593" customWidth="1"/>
    <col min="39" max="52" width="10.7109375" style="593" customWidth="1"/>
    <col min="53" max="53" width="13.8515625" style="593" customWidth="1"/>
    <col min="54" max="54" width="16.57421875" style="593" bestFit="1" customWidth="1"/>
    <col min="55" max="55" width="12.7109375" style="593" bestFit="1" customWidth="1"/>
    <col min="56" max="56" width="11.28125" style="593" customWidth="1"/>
    <col min="57" max="57" width="15.7109375" style="593" customWidth="1"/>
    <col min="58" max="58" width="17.7109375" style="593" bestFit="1" customWidth="1"/>
    <col min="59" max="16384" width="11.28125" style="593" customWidth="1"/>
  </cols>
  <sheetData>
    <row r="1" spans="2:48" ht="18" customHeight="1" hidden="1">
      <c r="B1" s="594"/>
      <c r="C1" s="595"/>
      <c r="D1" s="596"/>
      <c r="E1" s="2"/>
      <c r="F1" s="594"/>
      <c r="G1" s="594" t="s">
        <v>136</v>
      </c>
      <c r="H1" s="594"/>
      <c r="J1" s="594"/>
      <c r="K1" s="985" t="s">
        <v>137</v>
      </c>
      <c r="L1" s="985"/>
      <c r="M1" s="985"/>
      <c r="N1" s="985"/>
      <c r="O1" s="985"/>
      <c r="P1" s="985"/>
      <c r="Q1" s="985"/>
      <c r="R1" s="985"/>
      <c r="S1" s="985"/>
      <c r="T1" s="985"/>
      <c r="U1" s="985"/>
      <c r="V1" s="597"/>
      <c r="W1" s="597"/>
      <c r="X1" s="598"/>
      <c r="Y1" s="598"/>
      <c r="Z1" s="598"/>
      <c r="AA1" s="598"/>
      <c r="AB1" s="598"/>
      <c r="AC1" s="598"/>
      <c r="AD1" s="598"/>
      <c r="AE1" s="598"/>
      <c r="AF1" s="597"/>
      <c r="AG1" s="597"/>
      <c r="AH1" s="597"/>
      <c r="AI1" s="598"/>
      <c r="AJ1" s="597"/>
      <c r="AK1" s="597"/>
      <c r="AL1" s="597"/>
      <c r="AM1" s="597"/>
      <c r="AN1" s="597"/>
      <c r="AO1" s="597"/>
      <c r="AP1" s="597"/>
      <c r="AQ1" s="598"/>
      <c r="AR1" s="598"/>
      <c r="AS1" s="598"/>
      <c r="AT1" s="598"/>
      <c r="AU1" s="598"/>
      <c r="AV1" s="598"/>
    </row>
    <row r="2" spans="2:53" ht="18.75" hidden="1">
      <c r="B2" s="594"/>
      <c r="C2" s="595"/>
      <c r="D2" s="596"/>
      <c r="E2" s="2"/>
      <c r="F2" s="594"/>
      <c r="G2" s="594" t="s">
        <v>409</v>
      </c>
      <c r="H2" s="594"/>
      <c r="J2" s="599"/>
      <c r="K2" s="986" t="s">
        <v>138</v>
      </c>
      <c r="L2" s="986"/>
      <c r="M2" s="986"/>
      <c r="N2" s="986"/>
      <c r="O2" s="986"/>
      <c r="P2" s="986"/>
      <c r="Q2" s="986"/>
      <c r="R2" s="986"/>
      <c r="S2" s="986"/>
      <c r="T2" s="986"/>
      <c r="U2" s="986"/>
      <c r="V2" s="600"/>
      <c r="W2" s="600"/>
      <c r="AF2" s="601"/>
      <c r="AG2" s="601"/>
      <c r="AH2" s="601"/>
      <c r="AI2" s="602"/>
      <c r="AJ2" s="601"/>
      <c r="AK2" s="601"/>
      <c r="AL2" s="601"/>
      <c r="AM2" s="601"/>
      <c r="AN2" s="601"/>
      <c r="AO2" s="602"/>
      <c r="AP2" s="602"/>
      <c r="AR2" s="598"/>
      <c r="AS2" s="598"/>
      <c r="AT2" s="598"/>
      <c r="AU2" s="598"/>
      <c r="AV2" s="598"/>
      <c r="BA2" s="601"/>
    </row>
    <row r="3" spans="1:53" ht="18.75">
      <c r="A3" s="1" t="s">
        <v>65</v>
      </c>
      <c r="B3" s="594"/>
      <c r="C3" s="595"/>
      <c r="D3" s="596"/>
      <c r="E3" s="2"/>
      <c r="F3" s="594"/>
      <c r="G3" s="594"/>
      <c r="H3" s="594"/>
      <c r="J3" s="599"/>
      <c r="K3" s="600"/>
      <c r="L3" s="600"/>
      <c r="M3" s="600"/>
      <c r="N3" s="600"/>
      <c r="O3" s="600"/>
      <c r="P3" s="600"/>
      <c r="Q3" s="600"/>
      <c r="R3" s="600"/>
      <c r="S3" s="600"/>
      <c r="T3" s="600"/>
      <c r="U3" s="600"/>
      <c r="V3" s="600"/>
      <c r="W3" s="600"/>
      <c r="AF3" s="601"/>
      <c r="AG3" s="601"/>
      <c r="AH3" s="601"/>
      <c r="AI3" s="602"/>
      <c r="AJ3" s="601"/>
      <c r="AK3" s="601"/>
      <c r="AL3" s="601"/>
      <c r="AM3" s="601"/>
      <c r="AN3" s="601"/>
      <c r="AO3" s="602"/>
      <c r="AP3" s="602"/>
      <c r="AR3" s="598"/>
      <c r="AS3" s="598"/>
      <c r="AT3" s="598"/>
      <c r="AU3" s="598"/>
      <c r="AV3" s="598"/>
      <c r="BA3" s="601"/>
    </row>
    <row r="4" spans="1:53" ht="18.75">
      <c r="A4" s="1" t="s">
        <v>64</v>
      </c>
      <c r="B4" s="594"/>
      <c r="C4" s="595"/>
      <c r="D4" s="596"/>
      <c r="E4" s="2"/>
      <c r="F4" s="594"/>
      <c r="G4" s="594"/>
      <c r="H4" s="594"/>
      <c r="J4" s="599"/>
      <c r="K4" s="600"/>
      <c r="L4" s="600"/>
      <c r="M4" s="600"/>
      <c r="N4" s="600"/>
      <c r="O4" s="600"/>
      <c r="P4" s="600"/>
      <c r="Q4" s="600"/>
      <c r="R4" s="600"/>
      <c r="S4" s="600"/>
      <c r="T4" s="600"/>
      <c r="U4" s="600"/>
      <c r="V4" s="600"/>
      <c r="W4" s="600"/>
      <c r="AF4" s="601"/>
      <c r="AG4" s="601"/>
      <c r="AH4" s="601"/>
      <c r="AI4" s="602"/>
      <c r="AJ4" s="601"/>
      <c r="AK4" s="601"/>
      <c r="AL4" s="601"/>
      <c r="AM4" s="601"/>
      <c r="AN4" s="601"/>
      <c r="AO4" s="602"/>
      <c r="AP4" s="602"/>
      <c r="AR4" s="598"/>
      <c r="AS4" s="598"/>
      <c r="AT4" s="598"/>
      <c r="AU4" s="598"/>
      <c r="AV4" s="598"/>
      <c r="BA4" s="601"/>
    </row>
    <row r="5" spans="1:48" s="605" customFormat="1" ht="20.25" customHeight="1">
      <c r="A5" s="987" t="s">
        <v>139</v>
      </c>
      <c r="B5" s="987"/>
      <c r="C5" s="987"/>
      <c r="D5" s="987"/>
      <c r="E5" s="987"/>
      <c r="F5" s="987"/>
      <c r="G5" s="987"/>
      <c r="H5" s="987"/>
      <c r="I5" s="987"/>
      <c r="J5" s="987"/>
      <c r="K5" s="987"/>
      <c r="L5" s="987"/>
      <c r="M5" s="987"/>
      <c r="N5" s="987"/>
      <c r="O5" s="987"/>
      <c r="P5" s="987"/>
      <c r="Q5" s="987"/>
      <c r="R5" s="987"/>
      <c r="S5" s="987"/>
      <c r="T5" s="987"/>
      <c r="U5" s="603"/>
      <c r="V5" s="603"/>
      <c r="W5" s="603"/>
      <c r="X5" s="603"/>
      <c r="Y5" s="603"/>
      <c r="Z5" s="603"/>
      <c r="AA5" s="603"/>
      <c r="AB5" s="603"/>
      <c r="AC5" s="603"/>
      <c r="AD5" s="603"/>
      <c r="AE5" s="604"/>
      <c r="AG5" s="603"/>
      <c r="AH5" s="601"/>
      <c r="AI5" s="606"/>
      <c r="AJ5" s="601"/>
      <c r="AK5" s="601"/>
      <c r="AL5" s="601"/>
      <c r="AM5" s="601"/>
      <c r="AN5" s="601"/>
      <c r="AO5" s="601"/>
      <c r="AP5" s="601"/>
      <c r="AR5" s="606"/>
      <c r="AS5" s="606"/>
      <c r="AT5" s="606"/>
      <c r="AU5" s="606"/>
      <c r="AV5" s="606"/>
    </row>
    <row r="6" spans="1:49" ht="19.5" customHeight="1">
      <c r="A6" s="988" t="s">
        <v>880</v>
      </c>
      <c r="B6" s="988"/>
      <c r="C6" s="988"/>
      <c r="D6" s="988"/>
      <c r="E6" s="988"/>
      <c r="F6" s="988"/>
      <c r="G6" s="988"/>
      <c r="H6" s="988"/>
      <c r="I6" s="988"/>
      <c r="J6" s="988"/>
      <c r="K6" s="988"/>
      <c r="L6" s="988"/>
      <c r="M6" s="988"/>
      <c r="N6" s="988"/>
      <c r="O6" s="988"/>
      <c r="P6" s="988"/>
      <c r="Q6" s="988"/>
      <c r="R6" s="988"/>
      <c r="S6" s="988"/>
      <c r="T6" s="988"/>
      <c r="U6" s="607"/>
      <c r="V6" s="607"/>
      <c r="W6" s="607"/>
      <c r="X6" s="607"/>
      <c r="Y6" s="607"/>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row>
    <row r="7" spans="1:50" ht="18.75" customHeight="1">
      <c r="A7" s="989" t="s">
        <v>888</v>
      </c>
      <c r="B7" s="989"/>
      <c r="C7" s="989"/>
      <c r="D7" s="989"/>
      <c r="E7" s="989"/>
      <c r="F7" s="989"/>
      <c r="G7" s="989"/>
      <c r="H7" s="989"/>
      <c r="I7" s="989"/>
      <c r="J7" s="989"/>
      <c r="K7" s="989"/>
      <c r="L7" s="989"/>
      <c r="M7" s="989"/>
      <c r="N7" s="989"/>
      <c r="O7" s="989"/>
      <c r="P7" s="989"/>
      <c r="Q7" s="989"/>
      <c r="R7" s="989"/>
      <c r="S7" s="989"/>
      <c r="T7" s="989"/>
      <c r="U7" s="609"/>
      <c r="V7" s="609"/>
      <c r="W7" s="609"/>
      <c r="X7" s="609"/>
      <c r="Y7" s="609"/>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row>
    <row r="8" spans="1:53" s="618" customFormat="1" ht="12" customHeight="1" hidden="1">
      <c r="A8" s="611"/>
      <c r="B8" s="612"/>
      <c r="C8" s="613"/>
      <c r="D8" s="614" t="s">
        <v>140</v>
      </c>
      <c r="E8" s="3">
        <v>1.3</v>
      </c>
      <c r="F8" s="612"/>
      <c r="G8" s="612"/>
      <c r="H8" s="612"/>
      <c r="I8" s="612"/>
      <c r="J8" s="612"/>
      <c r="K8" s="612"/>
      <c r="L8" s="612"/>
      <c r="M8" s="615"/>
      <c r="N8" s="616"/>
      <c r="O8" s="612"/>
      <c r="P8" s="617"/>
      <c r="S8" s="616"/>
      <c r="T8" s="616"/>
      <c r="U8" s="619"/>
      <c r="V8" s="619"/>
      <c r="W8" s="619"/>
      <c r="X8" s="619"/>
      <c r="Y8" s="619"/>
      <c r="Z8" s="619"/>
      <c r="AA8" s="619"/>
      <c r="AB8" s="619"/>
      <c r="AC8" s="619"/>
      <c r="AD8" s="619"/>
      <c r="AE8" s="620"/>
      <c r="AF8" s="617"/>
      <c r="AG8" s="611"/>
      <c r="AI8" s="611"/>
      <c r="AJ8" s="617"/>
      <c r="AK8" s="617"/>
      <c r="AL8" s="611"/>
      <c r="AM8" s="611"/>
      <c r="AN8" s="611"/>
      <c r="AO8" s="611"/>
      <c r="AP8" s="611"/>
      <c r="AQ8" s="611"/>
      <c r="AR8" s="611"/>
      <c r="AS8" s="611"/>
      <c r="AT8" s="611"/>
      <c r="AU8" s="621"/>
      <c r="AV8" s="617"/>
      <c r="BA8" s="612"/>
    </row>
    <row r="9" spans="1:53" s="618" customFormat="1" ht="15.75" customHeight="1">
      <c r="A9" s="611"/>
      <c r="B9" s="612"/>
      <c r="C9" s="613"/>
      <c r="D9" s="614"/>
      <c r="E9" s="3"/>
      <c r="F9" s="612"/>
      <c r="G9" s="612"/>
      <c r="H9" s="612"/>
      <c r="I9" s="612"/>
      <c r="J9" s="612"/>
      <c r="K9" s="612"/>
      <c r="L9" s="612"/>
      <c r="M9" s="615"/>
      <c r="N9" s="616"/>
      <c r="O9" s="612"/>
      <c r="P9" s="617"/>
      <c r="S9" s="622" t="s">
        <v>292</v>
      </c>
      <c r="T9" s="616"/>
      <c r="U9" s="619"/>
      <c r="V9" s="619"/>
      <c r="W9" s="619"/>
      <c r="X9" s="619"/>
      <c r="Y9" s="619"/>
      <c r="Z9" s="619"/>
      <c r="AA9" s="619"/>
      <c r="AB9" s="619"/>
      <c r="AC9" s="619"/>
      <c r="AD9" s="619"/>
      <c r="AE9" s="620"/>
      <c r="AF9" s="617"/>
      <c r="AG9" s="611"/>
      <c r="AI9" s="611"/>
      <c r="AJ9" s="617"/>
      <c r="AK9" s="617"/>
      <c r="AL9" s="611"/>
      <c r="AM9" s="611"/>
      <c r="AN9" s="611"/>
      <c r="AO9" s="611"/>
      <c r="AP9" s="611"/>
      <c r="AQ9" s="611"/>
      <c r="AR9" s="611"/>
      <c r="AS9" s="611"/>
      <c r="AT9" s="611"/>
      <c r="AU9" s="621"/>
      <c r="AV9" s="617"/>
      <c r="BA9" s="612"/>
    </row>
    <row r="10" spans="1:20" s="588" customFormat="1" ht="15" customHeight="1">
      <c r="A10" s="990" t="s">
        <v>293</v>
      </c>
      <c r="B10" s="982" t="s">
        <v>141</v>
      </c>
      <c r="C10" s="982" t="s">
        <v>142</v>
      </c>
      <c r="D10" s="983" t="s">
        <v>143</v>
      </c>
      <c r="E10" s="984" t="s">
        <v>327</v>
      </c>
      <c r="F10" s="980" t="s">
        <v>144</v>
      </c>
      <c r="G10" s="980" t="s">
        <v>145</v>
      </c>
      <c r="H10" s="980" t="s">
        <v>146</v>
      </c>
      <c r="I10" s="980" t="s">
        <v>147</v>
      </c>
      <c r="J10" s="980" t="s">
        <v>148</v>
      </c>
      <c r="K10" s="980" t="s">
        <v>149</v>
      </c>
      <c r="L10" s="980" t="s">
        <v>151</v>
      </c>
      <c r="M10" s="980" t="s">
        <v>152</v>
      </c>
      <c r="N10" s="980" t="s">
        <v>156</v>
      </c>
      <c r="O10" s="980" t="s">
        <v>157</v>
      </c>
      <c r="P10" s="980" t="s">
        <v>158</v>
      </c>
      <c r="Q10" s="980" t="s">
        <v>150</v>
      </c>
      <c r="R10" s="980" t="s">
        <v>153</v>
      </c>
      <c r="S10" s="980" t="s">
        <v>154</v>
      </c>
      <c r="T10" s="980" t="s">
        <v>155</v>
      </c>
    </row>
    <row r="11" spans="1:20" s="588" customFormat="1" ht="15">
      <c r="A11" s="991"/>
      <c r="B11" s="982"/>
      <c r="C11" s="982"/>
      <c r="D11" s="983"/>
      <c r="E11" s="984"/>
      <c r="F11" s="980"/>
      <c r="G11" s="980"/>
      <c r="H11" s="980"/>
      <c r="I11" s="980"/>
      <c r="J11" s="980"/>
      <c r="K11" s="980"/>
      <c r="L11" s="980"/>
      <c r="M11" s="980"/>
      <c r="N11" s="980"/>
      <c r="O11" s="980"/>
      <c r="P11" s="980"/>
      <c r="Q11" s="980"/>
      <c r="R11" s="980"/>
      <c r="S11" s="980"/>
      <c r="T11" s="980"/>
    </row>
    <row r="12" spans="1:20" s="588" customFormat="1" ht="15">
      <c r="A12" s="454" t="s">
        <v>294</v>
      </c>
      <c r="B12" s="454" t="s">
        <v>299</v>
      </c>
      <c r="C12" s="454"/>
      <c r="D12" s="624" t="s">
        <v>364</v>
      </c>
      <c r="E12" s="83" t="s">
        <v>159</v>
      </c>
      <c r="F12" s="625">
        <v>1</v>
      </c>
      <c r="G12" s="625">
        <v>2</v>
      </c>
      <c r="H12" s="625">
        <v>3</v>
      </c>
      <c r="I12" s="625">
        <v>4</v>
      </c>
      <c r="J12" s="625">
        <v>5</v>
      </c>
      <c r="K12" s="625">
        <v>6</v>
      </c>
      <c r="L12" s="625">
        <v>7</v>
      </c>
      <c r="M12" s="625">
        <v>8</v>
      </c>
      <c r="N12" s="625">
        <v>9</v>
      </c>
      <c r="O12" s="625">
        <v>10</v>
      </c>
      <c r="P12" s="625">
        <v>11</v>
      </c>
      <c r="Q12" s="625">
        <v>12</v>
      </c>
      <c r="R12" s="625">
        <v>13</v>
      </c>
      <c r="S12" s="625">
        <v>14</v>
      </c>
      <c r="T12" s="625">
        <v>15</v>
      </c>
    </row>
    <row r="13" spans="1:20" s="627" customFormat="1" ht="20.25" customHeight="1">
      <c r="A13" s="86"/>
      <c r="B13" s="87" t="s">
        <v>677</v>
      </c>
      <c r="C13" s="86"/>
      <c r="D13" s="623"/>
      <c r="E13" s="626">
        <f>E14+E20</f>
        <v>122302</v>
      </c>
      <c r="F13" s="626">
        <f aca="true" t="shared" si="0" ref="F13:S13">F14+F20</f>
        <v>8159</v>
      </c>
      <c r="G13" s="626">
        <f t="shared" si="0"/>
        <v>7300</v>
      </c>
      <c r="H13" s="626">
        <f t="shared" si="0"/>
        <v>7379</v>
      </c>
      <c r="I13" s="626">
        <f t="shared" si="0"/>
        <v>7422</v>
      </c>
      <c r="J13" s="626">
        <f t="shared" si="0"/>
        <v>7428</v>
      </c>
      <c r="K13" s="626">
        <f t="shared" si="0"/>
        <v>6592</v>
      </c>
      <c r="L13" s="626">
        <f t="shared" si="0"/>
        <v>8328</v>
      </c>
      <c r="M13" s="626">
        <f t="shared" si="0"/>
        <v>7111</v>
      </c>
      <c r="N13" s="626">
        <f t="shared" si="0"/>
        <v>7831</v>
      </c>
      <c r="O13" s="626">
        <f t="shared" si="0"/>
        <v>7657</v>
      </c>
      <c r="P13" s="626">
        <f t="shared" si="0"/>
        <v>7367</v>
      </c>
      <c r="Q13" s="626">
        <f>Q14+Q20</f>
        <v>10436</v>
      </c>
      <c r="R13" s="626">
        <f t="shared" si="0"/>
        <v>7714</v>
      </c>
      <c r="S13" s="626">
        <f t="shared" si="0"/>
        <v>9470</v>
      </c>
      <c r="T13" s="626">
        <f>T14+T20</f>
        <v>12108</v>
      </c>
    </row>
    <row r="14" spans="1:20" s="627" customFormat="1" ht="21.75" customHeight="1">
      <c r="A14" s="86" t="s">
        <v>295</v>
      </c>
      <c r="B14" s="87" t="s">
        <v>678</v>
      </c>
      <c r="C14" s="86"/>
      <c r="D14" s="623" t="s">
        <v>160</v>
      </c>
      <c r="E14" s="626">
        <f>E15+E18</f>
        <v>113983</v>
      </c>
      <c r="F14" s="626">
        <f>F15+F18</f>
        <v>8159</v>
      </c>
      <c r="G14" s="626">
        <f aca="true" t="shared" si="1" ref="G14:T14">G15+G18</f>
        <v>7300</v>
      </c>
      <c r="H14" s="626">
        <f t="shared" si="1"/>
        <v>7379</v>
      </c>
      <c r="I14" s="626">
        <f t="shared" si="1"/>
        <v>7422</v>
      </c>
      <c r="J14" s="626">
        <f t="shared" si="1"/>
        <v>7428</v>
      </c>
      <c r="K14" s="626">
        <f t="shared" si="1"/>
        <v>6592</v>
      </c>
      <c r="L14" s="626">
        <f t="shared" si="1"/>
        <v>8328</v>
      </c>
      <c r="M14" s="626">
        <f t="shared" si="1"/>
        <v>7111</v>
      </c>
      <c r="N14" s="626">
        <f t="shared" si="1"/>
        <v>7831</v>
      </c>
      <c r="O14" s="626">
        <f t="shared" si="1"/>
        <v>7657</v>
      </c>
      <c r="P14" s="626">
        <f t="shared" si="1"/>
        <v>7367</v>
      </c>
      <c r="Q14" s="626">
        <f t="shared" si="1"/>
        <v>8284</v>
      </c>
      <c r="R14" s="626">
        <f t="shared" si="1"/>
        <v>7094</v>
      </c>
      <c r="S14" s="626">
        <f t="shared" si="1"/>
        <v>8039</v>
      </c>
      <c r="T14" s="626">
        <f t="shared" si="1"/>
        <v>7992</v>
      </c>
    </row>
    <row r="15" spans="1:35" s="627" customFormat="1" ht="29.25" customHeight="1">
      <c r="A15" s="86">
        <v>1</v>
      </c>
      <c r="B15" s="87" t="s">
        <v>712</v>
      </c>
      <c r="C15" s="86"/>
      <c r="D15" s="623" t="s">
        <v>161</v>
      </c>
      <c r="E15" s="626">
        <f>E16+E17</f>
        <v>111686</v>
      </c>
      <c r="F15" s="626">
        <f aca="true" t="shared" si="2" ref="F15:AI15">F16+F17</f>
        <v>7995</v>
      </c>
      <c r="G15" s="626">
        <f t="shared" si="2"/>
        <v>7153</v>
      </c>
      <c r="H15" s="626">
        <f t="shared" si="2"/>
        <v>7230</v>
      </c>
      <c r="I15" s="626">
        <f t="shared" si="2"/>
        <v>7273</v>
      </c>
      <c r="J15" s="626">
        <f t="shared" si="2"/>
        <v>7278</v>
      </c>
      <c r="K15" s="626">
        <f t="shared" si="2"/>
        <v>6459</v>
      </c>
      <c r="L15" s="626">
        <f t="shared" si="2"/>
        <v>8160</v>
      </c>
      <c r="M15" s="626">
        <f t="shared" si="2"/>
        <v>6968</v>
      </c>
      <c r="N15" s="626">
        <f t="shared" si="2"/>
        <v>7673</v>
      </c>
      <c r="O15" s="626">
        <f t="shared" si="2"/>
        <v>7503</v>
      </c>
      <c r="P15" s="626">
        <f t="shared" si="2"/>
        <v>7218</v>
      </c>
      <c r="Q15" s="626">
        <f t="shared" si="2"/>
        <v>8117</v>
      </c>
      <c r="R15" s="626">
        <f t="shared" si="2"/>
        <v>6951</v>
      </c>
      <c r="S15" s="626">
        <f t="shared" si="2"/>
        <v>7877</v>
      </c>
      <c r="T15" s="626">
        <f t="shared" si="2"/>
        <v>7831</v>
      </c>
      <c r="U15" s="626">
        <f t="shared" si="2"/>
        <v>0</v>
      </c>
      <c r="V15" s="626">
        <f t="shared" si="2"/>
        <v>0</v>
      </c>
      <c r="W15" s="626">
        <f t="shared" si="2"/>
        <v>0</v>
      </c>
      <c r="X15" s="626">
        <f t="shared" si="2"/>
        <v>0</v>
      </c>
      <c r="Y15" s="626">
        <f t="shared" si="2"/>
        <v>0</v>
      </c>
      <c r="Z15" s="626">
        <f t="shared" si="2"/>
        <v>0</v>
      </c>
      <c r="AA15" s="626">
        <f t="shared" si="2"/>
        <v>0</v>
      </c>
      <c r="AB15" s="626">
        <f t="shared" si="2"/>
        <v>0</v>
      </c>
      <c r="AC15" s="626">
        <f t="shared" si="2"/>
        <v>0</v>
      </c>
      <c r="AD15" s="626">
        <f t="shared" si="2"/>
        <v>0</v>
      </c>
      <c r="AE15" s="626">
        <f t="shared" si="2"/>
        <v>0</v>
      </c>
      <c r="AF15" s="626">
        <f t="shared" si="2"/>
        <v>0</v>
      </c>
      <c r="AG15" s="626">
        <f t="shared" si="2"/>
        <v>0</v>
      </c>
      <c r="AH15" s="626">
        <f t="shared" si="2"/>
        <v>0</v>
      </c>
      <c r="AI15" s="626">
        <f t="shared" si="2"/>
        <v>0</v>
      </c>
    </row>
    <row r="16" spans="1:20" s="588" customFormat="1" ht="23.25" customHeight="1">
      <c r="A16" s="454" t="s">
        <v>311</v>
      </c>
      <c r="B16" s="84" t="s">
        <v>211</v>
      </c>
      <c r="C16" s="454"/>
      <c r="D16" s="628"/>
      <c r="E16" s="40">
        <f aca="true" t="shared" si="3" ref="E16:E21">SUM(F16:T16)</f>
        <v>59375</v>
      </c>
      <c r="F16" s="40">
        <v>4277</v>
      </c>
      <c r="G16" s="40">
        <v>3770</v>
      </c>
      <c r="H16" s="40">
        <v>3800</v>
      </c>
      <c r="I16" s="40">
        <v>3819</v>
      </c>
      <c r="J16" s="40">
        <v>3794</v>
      </c>
      <c r="K16" s="40">
        <v>3361</v>
      </c>
      <c r="L16" s="40">
        <v>4422</v>
      </c>
      <c r="M16" s="40">
        <v>3673</v>
      </c>
      <c r="N16" s="40">
        <v>4111</v>
      </c>
      <c r="O16" s="40">
        <v>4068</v>
      </c>
      <c r="P16" s="40">
        <v>3750</v>
      </c>
      <c r="Q16" s="40">
        <v>4435</v>
      </c>
      <c r="R16" s="40">
        <v>3664</v>
      </c>
      <c r="S16" s="40">
        <v>4254</v>
      </c>
      <c r="T16" s="40">
        <v>4177</v>
      </c>
    </row>
    <row r="17" spans="1:20" s="588" customFormat="1" ht="30.75" customHeight="1">
      <c r="A17" s="454" t="s">
        <v>312</v>
      </c>
      <c r="B17" s="85" t="s">
        <v>162</v>
      </c>
      <c r="C17" s="454"/>
      <c r="D17" s="624"/>
      <c r="E17" s="40">
        <f t="shared" si="3"/>
        <v>52311</v>
      </c>
      <c r="F17" s="40">
        <v>3718</v>
      </c>
      <c r="G17" s="40">
        <v>3383</v>
      </c>
      <c r="H17" s="40">
        <v>3430</v>
      </c>
      <c r="I17" s="40">
        <v>3454</v>
      </c>
      <c r="J17" s="40">
        <v>3484</v>
      </c>
      <c r="K17" s="40">
        <v>3098</v>
      </c>
      <c r="L17" s="40">
        <v>3738</v>
      </c>
      <c r="M17" s="40">
        <v>3295</v>
      </c>
      <c r="N17" s="40">
        <v>3562</v>
      </c>
      <c r="O17" s="40">
        <v>3435</v>
      </c>
      <c r="P17" s="40">
        <v>3468</v>
      </c>
      <c r="Q17" s="40">
        <v>3682</v>
      </c>
      <c r="R17" s="40">
        <v>3287</v>
      </c>
      <c r="S17" s="40">
        <v>3623</v>
      </c>
      <c r="T17" s="40">
        <v>3654</v>
      </c>
    </row>
    <row r="18" spans="1:20" s="627" customFormat="1" ht="21.75" customHeight="1">
      <c r="A18" s="86">
        <v>2</v>
      </c>
      <c r="B18" s="87" t="s">
        <v>163</v>
      </c>
      <c r="C18" s="86"/>
      <c r="D18" s="623"/>
      <c r="E18" s="626">
        <f t="shared" si="3"/>
        <v>2297</v>
      </c>
      <c r="F18" s="626">
        <v>164</v>
      </c>
      <c r="G18" s="626">
        <v>147</v>
      </c>
      <c r="H18" s="626">
        <v>149</v>
      </c>
      <c r="I18" s="626">
        <v>149</v>
      </c>
      <c r="J18" s="626">
        <v>150</v>
      </c>
      <c r="K18" s="626">
        <v>133</v>
      </c>
      <c r="L18" s="626">
        <v>168</v>
      </c>
      <c r="M18" s="626">
        <v>143</v>
      </c>
      <c r="N18" s="626">
        <v>158</v>
      </c>
      <c r="O18" s="626">
        <v>154</v>
      </c>
      <c r="P18" s="626">
        <v>149</v>
      </c>
      <c r="Q18" s="626">
        <v>167</v>
      </c>
      <c r="R18" s="626">
        <v>143</v>
      </c>
      <c r="S18" s="626">
        <v>162</v>
      </c>
      <c r="T18" s="626">
        <v>161</v>
      </c>
    </row>
    <row r="19" spans="1:20" s="627" customFormat="1" ht="21.75" customHeight="1">
      <c r="A19" s="103">
        <v>3</v>
      </c>
      <c r="B19" s="104" t="s">
        <v>711</v>
      </c>
      <c r="C19" s="103"/>
      <c r="D19" s="629"/>
      <c r="E19" s="630">
        <f t="shared" si="3"/>
        <v>3130</v>
      </c>
      <c r="F19" s="631">
        <v>222</v>
      </c>
      <c r="G19" s="631">
        <v>201</v>
      </c>
      <c r="H19" s="631">
        <v>202</v>
      </c>
      <c r="I19" s="631">
        <v>201</v>
      </c>
      <c r="J19" s="631">
        <v>202</v>
      </c>
      <c r="K19" s="631">
        <v>179</v>
      </c>
      <c r="L19" s="631">
        <v>220</v>
      </c>
      <c r="M19" s="631">
        <v>199</v>
      </c>
      <c r="N19" s="631">
        <v>218</v>
      </c>
      <c r="O19" s="631">
        <v>215</v>
      </c>
      <c r="P19" s="631">
        <v>217</v>
      </c>
      <c r="Q19" s="631">
        <v>220</v>
      </c>
      <c r="R19" s="631">
        <v>197</v>
      </c>
      <c r="S19" s="631">
        <v>220</v>
      </c>
      <c r="T19" s="631">
        <v>217</v>
      </c>
    </row>
    <row r="20" spans="1:20" s="588" customFormat="1" ht="35.25" customHeight="1">
      <c r="A20" s="86" t="s">
        <v>296</v>
      </c>
      <c r="B20" s="87" t="s">
        <v>679</v>
      </c>
      <c r="C20" s="86"/>
      <c r="D20" s="623"/>
      <c r="E20" s="626">
        <f t="shared" si="3"/>
        <v>8319</v>
      </c>
      <c r="F20" s="632"/>
      <c r="G20" s="632"/>
      <c r="H20" s="632"/>
      <c r="I20" s="632"/>
      <c r="J20" s="632"/>
      <c r="K20" s="632"/>
      <c r="L20" s="632"/>
      <c r="M20" s="632"/>
      <c r="N20" s="632"/>
      <c r="O20" s="632"/>
      <c r="P20" s="632"/>
      <c r="Q20" s="633">
        <f>Q21</f>
        <v>2152</v>
      </c>
      <c r="R20" s="633">
        <f>R21</f>
        <v>620</v>
      </c>
      <c r="S20" s="633">
        <f>S21</f>
        <v>1431</v>
      </c>
      <c r="T20" s="633">
        <f>T21</f>
        <v>4116</v>
      </c>
    </row>
    <row r="21" spans="1:20" s="634" customFormat="1" ht="20.25" customHeight="1">
      <c r="A21" s="86">
        <v>1</v>
      </c>
      <c r="B21" s="87" t="s">
        <v>680</v>
      </c>
      <c r="C21" s="86"/>
      <c r="D21" s="623"/>
      <c r="E21" s="626">
        <f t="shared" si="3"/>
        <v>8319</v>
      </c>
      <c r="F21" s="40"/>
      <c r="G21" s="40"/>
      <c r="H21" s="40"/>
      <c r="I21" s="40"/>
      <c r="J21" s="40"/>
      <c r="K21" s="40"/>
      <c r="L21" s="40"/>
      <c r="M21" s="40"/>
      <c r="N21" s="40"/>
      <c r="O21" s="40"/>
      <c r="P21" s="40"/>
      <c r="Q21" s="40">
        <v>2152</v>
      </c>
      <c r="R21" s="40">
        <v>620</v>
      </c>
      <c r="S21" s="40">
        <v>1431</v>
      </c>
      <c r="T21" s="40">
        <v>4116</v>
      </c>
    </row>
    <row r="22" spans="1:20" s="634" customFormat="1" ht="20.25" customHeight="1">
      <c r="A22" s="635"/>
      <c r="B22" s="636"/>
      <c r="C22" s="635"/>
      <c r="D22" s="637"/>
      <c r="E22" s="638"/>
      <c r="F22" s="639"/>
      <c r="G22" s="639"/>
      <c r="H22" s="639"/>
      <c r="I22" s="639"/>
      <c r="J22" s="639"/>
      <c r="K22" s="639"/>
      <c r="L22" s="639"/>
      <c r="M22" s="639"/>
      <c r="N22" s="639"/>
      <c r="O22" s="639"/>
      <c r="P22" s="639"/>
      <c r="Q22" s="639"/>
      <c r="R22" s="639"/>
      <c r="S22" s="639"/>
      <c r="T22" s="639"/>
    </row>
    <row r="23" spans="1:20" s="588" customFormat="1" ht="16.5">
      <c r="A23" s="640" t="s">
        <v>226</v>
      </c>
      <c r="B23" s="641" t="s">
        <v>227</v>
      </c>
      <c r="C23" s="7"/>
      <c r="D23" s="7"/>
      <c r="E23" s="7"/>
      <c r="F23" s="8"/>
      <c r="G23" s="8"/>
      <c r="H23" s="8"/>
      <c r="I23" s="8"/>
      <c r="J23" s="8"/>
      <c r="K23" s="8"/>
      <c r="L23" s="8"/>
      <c r="M23" s="8"/>
      <c r="N23" s="8"/>
      <c r="O23" s="8"/>
      <c r="P23" s="8"/>
      <c r="Q23" s="8"/>
      <c r="R23" s="8"/>
      <c r="S23" s="8"/>
      <c r="T23" s="8"/>
    </row>
    <row r="24" spans="1:20" s="644" customFormat="1" ht="15">
      <c r="A24" s="642"/>
      <c r="B24" s="643" t="s">
        <v>713</v>
      </c>
      <c r="C24" s="106"/>
      <c r="D24" s="107"/>
      <c r="E24" s="108"/>
      <c r="F24" s="109"/>
      <c r="G24" s="109"/>
      <c r="H24" s="109"/>
      <c r="I24" s="109"/>
      <c r="J24" s="109"/>
      <c r="K24" s="109"/>
      <c r="L24" s="109"/>
      <c r="M24" s="109"/>
      <c r="N24" s="109"/>
      <c r="O24" s="109"/>
      <c r="P24" s="109"/>
      <c r="Q24" s="109"/>
      <c r="R24" s="109"/>
      <c r="S24" s="109"/>
      <c r="T24" s="109"/>
    </row>
    <row r="25" spans="1:20" s="644" customFormat="1" ht="15.75">
      <c r="A25" s="645"/>
      <c r="B25" s="646" t="s">
        <v>681</v>
      </c>
      <c r="C25" s="110"/>
      <c r="D25" s="110"/>
      <c r="E25" s="109"/>
      <c r="F25" s="109"/>
      <c r="G25" s="109"/>
      <c r="H25" s="109"/>
      <c r="I25" s="109"/>
      <c r="J25" s="109"/>
      <c r="K25" s="109"/>
      <c r="L25" s="109"/>
      <c r="M25" s="109"/>
      <c r="N25" s="109"/>
      <c r="O25" s="109"/>
      <c r="P25" s="109"/>
      <c r="Q25" s="109"/>
      <c r="R25" s="109"/>
      <c r="S25" s="109"/>
      <c r="T25" s="109"/>
    </row>
    <row r="26" spans="1:20" s="644" customFormat="1" ht="15">
      <c r="A26" s="645"/>
      <c r="B26" s="981" t="s">
        <v>837</v>
      </c>
      <c r="C26" s="981"/>
      <c r="D26" s="981"/>
      <c r="E26" s="981"/>
      <c r="F26" s="981"/>
      <c r="G26" s="981"/>
      <c r="H26" s="981"/>
      <c r="I26" s="981"/>
      <c r="J26" s="981"/>
      <c r="K26" s="981"/>
      <c r="L26" s="981"/>
      <c r="M26" s="981"/>
      <c r="N26" s="981"/>
      <c r="O26" s="981"/>
      <c r="P26" s="981"/>
      <c r="Q26" s="981"/>
      <c r="R26" s="981"/>
      <c r="S26" s="981"/>
      <c r="T26" s="981"/>
    </row>
    <row r="27" spans="1:20" s="644" customFormat="1" ht="15.75">
      <c r="A27" s="645"/>
      <c r="B27" s="647" t="s">
        <v>838</v>
      </c>
      <c r="C27" s="110"/>
      <c r="D27" s="110"/>
      <c r="E27" s="109"/>
      <c r="F27" s="109"/>
      <c r="G27" s="109"/>
      <c r="H27" s="109"/>
      <c r="I27" s="109"/>
      <c r="J27" s="109"/>
      <c r="K27" s="109"/>
      <c r="L27" s="109"/>
      <c r="M27" s="109"/>
      <c r="N27" s="109"/>
      <c r="O27" s="109"/>
      <c r="P27" s="109"/>
      <c r="Q27" s="109"/>
      <c r="R27" s="109"/>
      <c r="S27" s="109"/>
      <c r="T27" s="109"/>
    </row>
    <row r="28" spans="1:20" s="644" customFormat="1" ht="15.75">
      <c r="A28" s="645"/>
      <c r="B28" s="647" t="s">
        <v>839</v>
      </c>
      <c r="C28" s="110"/>
      <c r="D28" s="110"/>
      <c r="E28" s="109"/>
      <c r="F28" s="109"/>
      <c r="G28" s="109"/>
      <c r="H28" s="109"/>
      <c r="I28" s="109"/>
      <c r="J28" s="109"/>
      <c r="K28" s="109"/>
      <c r="L28" s="109"/>
      <c r="M28" s="109"/>
      <c r="N28" s="109"/>
      <c r="O28" s="109"/>
      <c r="P28" s="109"/>
      <c r="Q28" s="109"/>
      <c r="R28" s="109"/>
      <c r="S28" s="109"/>
      <c r="T28" s="109"/>
    </row>
    <row r="29" spans="1:20" s="644" customFormat="1" ht="15" customHeight="1">
      <c r="A29" s="645"/>
      <c r="B29" s="647" t="s">
        <v>831</v>
      </c>
      <c r="C29" s="110"/>
      <c r="D29" s="110"/>
      <c r="E29" s="109"/>
      <c r="F29" s="109"/>
      <c r="G29" s="109"/>
      <c r="H29" s="109"/>
      <c r="I29" s="109"/>
      <c r="J29" s="109"/>
      <c r="K29" s="109"/>
      <c r="L29" s="109"/>
      <c r="M29" s="109"/>
      <c r="N29" s="109"/>
      <c r="O29" s="109"/>
      <c r="P29" s="109"/>
      <c r="Q29" s="109"/>
      <c r="R29" s="109"/>
      <c r="S29" s="109"/>
      <c r="T29" s="109"/>
    </row>
    <row r="30" spans="2:20" s="644" customFormat="1" ht="15.75">
      <c r="B30" s="111" t="s">
        <v>714</v>
      </c>
      <c r="C30" s="110"/>
      <c r="D30" s="110"/>
      <c r="E30" s="109"/>
      <c r="F30" s="109"/>
      <c r="G30" s="109"/>
      <c r="H30" s="109"/>
      <c r="I30" s="109"/>
      <c r="J30" s="109"/>
      <c r="K30" s="109"/>
      <c r="L30" s="109"/>
      <c r="M30" s="109"/>
      <c r="N30" s="109"/>
      <c r="O30" s="109"/>
      <c r="P30" s="109"/>
      <c r="Q30" s="109"/>
      <c r="R30" s="109"/>
      <c r="S30" s="109"/>
      <c r="T30" s="109"/>
    </row>
    <row r="31" spans="2:20" s="644" customFormat="1" ht="15.75">
      <c r="B31" s="112" t="s">
        <v>832</v>
      </c>
      <c r="C31" s="110"/>
      <c r="D31" s="110"/>
      <c r="E31" s="109"/>
      <c r="F31" s="109"/>
      <c r="G31" s="109"/>
      <c r="H31" s="109"/>
      <c r="I31" s="109"/>
      <c r="J31" s="109"/>
      <c r="K31" s="109"/>
      <c r="L31" s="109"/>
      <c r="M31" s="109"/>
      <c r="N31" s="109"/>
      <c r="O31" s="109"/>
      <c r="P31" s="109"/>
      <c r="Q31" s="109"/>
      <c r="R31" s="109"/>
      <c r="S31" s="109"/>
      <c r="T31" s="109"/>
    </row>
    <row r="32" spans="2:20" s="644" customFormat="1" ht="15.75">
      <c r="B32" s="112" t="s">
        <v>715</v>
      </c>
      <c r="C32" s="110"/>
      <c r="D32" s="110"/>
      <c r="E32" s="109"/>
      <c r="F32" s="109"/>
      <c r="G32" s="109"/>
      <c r="H32" s="109"/>
      <c r="I32" s="109"/>
      <c r="J32" s="109"/>
      <c r="K32" s="109"/>
      <c r="L32" s="109"/>
      <c r="M32" s="109"/>
      <c r="N32" s="109"/>
      <c r="O32" s="109"/>
      <c r="P32" s="109"/>
      <c r="Q32" s="109"/>
      <c r="R32" s="109"/>
      <c r="S32" s="109"/>
      <c r="T32" s="109"/>
    </row>
    <row r="33" spans="2:20" s="644" customFormat="1" ht="15.75">
      <c r="B33" s="112" t="s">
        <v>716</v>
      </c>
      <c r="C33" s="110"/>
      <c r="D33" s="110"/>
      <c r="E33" s="109"/>
      <c r="F33" s="109"/>
      <c r="G33" s="109"/>
      <c r="H33" s="109"/>
      <c r="I33" s="109"/>
      <c r="J33" s="109"/>
      <c r="K33" s="109"/>
      <c r="L33" s="109"/>
      <c r="M33" s="109"/>
      <c r="N33" s="109"/>
      <c r="O33" s="109"/>
      <c r="P33" s="109"/>
      <c r="Q33" s="109"/>
      <c r="R33" s="109"/>
      <c r="S33" s="109"/>
      <c r="T33" s="109"/>
    </row>
    <row r="34" spans="2:20" ht="15.75">
      <c r="B34" s="646"/>
      <c r="C34" s="110"/>
      <c r="D34" s="110"/>
      <c r="E34" s="109"/>
      <c r="F34" s="109"/>
      <c r="G34" s="109"/>
      <c r="H34" s="109"/>
      <c r="I34" s="109"/>
      <c r="J34" s="109"/>
      <c r="K34" s="109"/>
      <c r="L34" s="109"/>
      <c r="M34" s="109"/>
      <c r="N34" s="109"/>
      <c r="O34" s="109"/>
      <c r="P34" s="109"/>
      <c r="Q34" s="109"/>
      <c r="R34" s="109"/>
      <c r="S34" s="109"/>
      <c r="T34" s="109"/>
    </row>
    <row r="35" spans="2:20" ht="15.75">
      <c r="B35" s="646"/>
      <c r="C35" s="110"/>
      <c r="D35" s="110"/>
      <c r="E35" s="109"/>
      <c r="F35" s="109"/>
      <c r="G35" s="109"/>
      <c r="H35" s="109"/>
      <c r="I35" s="109"/>
      <c r="J35" s="109"/>
      <c r="K35" s="109"/>
      <c r="L35" s="109"/>
      <c r="M35" s="109"/>
      <c r="N35" s="109"/>
      <c r="O35" s="109"/>
      <c r="P35" s="109"/>
      <c r="Q35" s="109"/>
      <c r="R35" s="109"/>
      <c r="S35" s="109"/>
      <c r="T35" s="109"/>
    </row>
    <row r="36" spans="2:20" ht="15.75">
      <c r="B36" s="111"/>
      <c r="C36" s="110"/>
      <c r="D36" s="110"/>
      <c r="E36" s="109"/>
      <c r="F36" s="109"/>
      <c r="G36" s="109"/>
      <c r="H36" s="109"/>
      <c r="I36" s="109"/>
      <c r="J36" s="109"/>
      <c r="K36" s="109"/>
      <c r="L36" s="109"/>
      <c r="M36" s="109"/>
      <c r="N36" s="109"/>
      <c r="O36" s="109"/>
      <c r="P36" s="109"/>
      <c r="Q36" s="109"/>
      <c r="R36" s="109"/>
      <c r="S36" s="109"/>
      <c r="T36" s="109"/>
    </row>
    <row r="37" spans="2:20" ht="15.75">
      <c r="B37" s="112"/>
      <c r="C37" s="110"/>
      <c r="D37" s="110"/>
      <c r="E37" s="109"/>
      <c r="F37" s="109"/>
      <c r="G37" s="109"/>
      <c r="H37" s="109"/>
      <c r="I37" s="109"/>
      <c r="J37" s="109"/>
      <c r="K37" s="109"/>
      <c r="L37" s="109"/>
      <c r="M37" s="109"/>
      <c r="N37" s="109"/>
      <c r="O37" s="109"/>
      <c r="P37" s="109"/>
      <c r="Q37" s="109"/>
      <c r="R37" s="109"/>
      <c r="S37" s="109"/>
      <c r="T37" s="109"/>
    </row>
    <row r="38" spans="2:20" ht="15.75">
      <c r="B38" s="112"/>
      <c r="C38" s="110"/>
      <c r="D38" s="110"/>
      <c r="E38" s="109"/>
      <c r="F38" s="109"/>
      <c r="G38" s="109"/>
      <c r="H38" s="109"/>
      <c r="I38" s="109"/>
      <c r="J38" s="109"/>
      <c r="K38" s="109"/>
      <c r="L38" s="109"/>
      <c r="M38" s="109"/>
      <c r="N38" s="109"/>
      <c r="O38" s="109"/>
      <c r="P38" s="109"/>
      <c r="Q38" s="109"/>
      <c r="R38" s="109"/>
      <c r="S38" s="109"/>
      <c r="T38" s="109"/>
    </row>
    <row r="39" spans="2:20" ht="15.75">
      <c r="B39" s="112"/>
      <c r="C39" s="110"/>
      <c r="D39" s="110"/>
      <c r="E39" s="109"/>
      <c r="F39" s="109"/>
      <c r="G39" s="109"/>
      <c r="H39" s="109"/>
      <c r="I39" s="109"/>
      <c r="J39" s="109"/>
      <c r="K39" s="109"/>
      <c r="L39" s="109"/>
      <c r="M39" s="109"/>
      <c r="N39" s="109"/>
      <c r="O39" s="109"/>
      <c r="P39" s="109"/>
      <c r="Q39" s="109"/>
      <c r="R39" s="109"/>
      <c r="S39" s="109"/>
      <c r="T39" s="109"/>
    </row>
    <row r="40" spans="2:20" ht="15.75">
      <c r="B40" s="112"/>
      <c r="C40" s="110"/>
      <c r="D40" s="110"/>
      <c r="E40" s="109"/>
      <c r="F40" s="109"/>
      <c r="G40" s="109"/>
      <c r="H40" s="109"/>
      <c r="I40" s="109"/>
      <c r="J40" s="109"/>
      <c r="K40" s="109"/>
      <c r="L40" s="109"/>
      <c r="M40" s="109"/>
      <c r="N40" s="109"/>
      <c r="O40" s="109"/>
      <c r="P40" s="109"/>
      <c r="Q40" s="109"/>
      <c r="R40" s="109"/>
      <c r="S40" s="109"/>
      <c r="T40" s="109"/>
    </row>
  </sheetData>
  <sheetProtection/>
  <mergeCells count="26">
    <mergeCell ref="K1:U1"/>
    <mergeCell ref="K2:U2"/>
    <mergeCell ref="A5:T5"/>
    <mergeCell ref="A6:T6"/>
    <mergeCell ref="S10:S11"/>
    <mergeCell ref="T10:T11"/>
    <mergeCell ref="A7:T7"/>
    <mergeCell ref="A10:A11"/>
    <mergeCell ref="F10:F11"/>
    <mergeCell ref="R10:R11"/>
    <mergeCell ref="B26:T26"/>
    <mergeCell ref="I10:I11"/>
    <mergeCell ref="B10:B11"/>
    <mergeCell ref="C10:C11"/>
    <mergeCell ref="G10:G11"/>
    <mergeCell ref="H10:H11"/>
    <mergeCell ref="D10:D11"/>
    <mergeCell ref="E10:E11"/>
    <mergeCell ref="O10:O11"/>
    <mergeCell ref="N10:N11"/>
    <mergeCell ref="J10:J11"/>
    <mergeCell ref="M10:M11"/>
    <mergeCell ref="K10:K11"/>
    <mergeCell ref="L10:L11"/>
    <mergeCell ref="Q10:Q11"/>
    <mergeCell ref="P10:P11"/>
  </mergeCells>
  <printOptions/>
  <pageMargins left="0.47" right="0.28" top="0.59" bottom="0.47" header="0.5" footer="0.3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2022-01-06T03:10:42Z</cp:lastPrinted>
  <dcterms:created xsi:type="dcterms:W3CDTF">2017-12-11T12:30:33Z</dcterms:created>
  <dcterms:modified xsi:type="dcterms:W3CDTF">2022-01-10T07:54:29Z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QY5UZ4ZQWDMN-2102554853-1315</vt:lpwstr>
  </property>
  <property fmtid="{D5CDD505-2E9C-101B-9397-08002B2CF9AE}" pid="4" name="_dlc_DocIdItemGu">
    <vt:lpwstr>dd7c5fa6-93ee-4259-914b-e6bf4c2b7e9e</vt:lpwstr>
  </property>
  <property fmtid="{D5CDD505-2E9C-101B-9397-08002B2CF9AE}" pid="5" name="_dlc_DocIdU">
    <vt:lpwstr>http://testweb.dongnai.gov.vn:8835/_layouts/15/DocIdRedir.aspx?ID=QY5UZ4ZQWDMN-2102554853-1315, QY5UZ4ZQWDMN-2102554853-1315</vt:lpwstr>
  </property>
</Properties>
</file>